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S\Teach\BIO8102L\Transformation\"/>
    </mc:Choice>
  </mc:AlternateContent>
  <bookViews>
    <workbookView xWindow="0" yWindow="0" windowWidth="18465" windowHeight="13440" activeTab="1"/>
  </bookViews>
  <sheets>
    <sheet name="Versatility" sheetId="12" r:id="rId1"/>
    <sheet name="MaximizeR_scaled" sheetId="25" r:id="rId2"/>
    <sheet name="LS_scaledNewY" sheetId="20" r:id="rId3"/>
    <sheet name="ML_scaledNewY" sheetId="19" r:id="rId4"/>
    <sheet name="Comparison" sheetId="1" r:id="rId5"/>
    <sheet name="InvertLRT_Reg" sheetId="22" r:id="rId6"/>
    <sheet name="ConfInterval" sheetId="21" r:id="rId7"/>
    <sheet name="y=x^3" sheetId="17" r:id="rId8"/>
    <sheet name="y=3+2x+4x^2+5x^3" sheetId="18" r:id="rId9"/>
    <sheet name="Ecoli" sheetId="14" r:id="rId10"/>
    <sheet name="Elephant" sheetId="15" r:id="rId11"/>
    <sheet name="ToxicityData" sheetId="11" r:id="rId12"/>
    <sheet name="Ecoli (2)" sheetId="24" r:id="rId13"/>
  </sheets>
  <definedNames>
    <definedName name="solver_adj" localSheetId="4" hidden="1">Comparison!$H$1</definedName>
    <definedName name="solver_adj" localSheetId="6" hidden="1">ConfInterval!$H$1</definedName>
    <definedName name="solver_adj" localSheetId="9" hidden="1">Ecoli!$H$1</definedName>
    <definedName name="solver_adj" localSheetId="12" hidden="1">'Ecoli (2)'!$H$1</definedName>
    <definedName name="solver_adj" localSheetId="10" hidden="1">Elephant!$I$1</definedName>
    <definedName name="solver_adj" localSheetId="5" hidden="1">InvertLRT_Reg!$F$2</definedName>
    <definedName name="solver_adj" localSheetId="2" hidden="1">LS_scaledNewY!$I$1</definedName>
    <definedName name="solver_adj" localSheetId="1" hidden="1">MaximizeR_scaled!$F$1</definedName>
    <definedName name="solver_adj" localSheetId="3" hidden="1">ML_scaledNewY!$J$1</definedName>
    <definedName name="solver_adj" localSheetId="11" hidden="1">ToxicityData!#REF!</definedName>
    <definedName name="solver_adj" localSheetId="8" hidden="1">'y=3+2x+4x^2+5x^3'!$H$1</definedName>
    <definedName name="solver_adj" localSheetId="7" hidden="1">'y=x^3'!$H$1</definedName>
    <definedName name="solver_cvg" localSheetId="4" hidden="1">0.0001</definedName>
    <definedName name="solver_cvg" localSheetId="6" hidden="1">0.0001</definedName>
    <definedName name="solver_cvg" localSheetId="9" hidden="1">0.0001</definedName>
    <definedName name="solver_cvg" localSheetId="12" hidden="1">0.0001</definedName>
    <definedName name="solver_cvg" localSheetId="10" hidden="1">0.0001</definedName>
    <definedName name="solver_cvg" localSheetId="5" hidden="1">0.0001</definedName>
    <definedName name="solver_cvg" localSheetId="2" hidden="1">0.0001</definedName>
    <definedName name="solver_cvg" localSheetId="1" hidden="1">0.0001</definedName>
    <definedName name="solver_cvg" localSheetId="3" hidden="1">0.0001</definedName>
    <definedName name="solver_cvg" localSheetId="11" hidden="1">0.0001</definedName>
    <definedName name="solver_cvg" localSheetId="8" hidden="1">0.0001</definedName>
    <definedName name="solver_cvg" localSheetId="7" hidden="1">0.0001</definedName>
    <definedName name="solver_drv" localSheetId="4" hidden="1">1</definedName>
    <definedName name="solver_drv" localSheetId="6" hidden="1">1</definedName>
    <definedName name="solver_drv" localSheetId="9" hidden="1">1</definedName>
    <definedName name="solver_drv" localSheetId="12" hidden="1">1</definedName>
    <definedName name="solver_drv" localSheetId="10" hidden="1">1</definedName>
    <definedName name="solver_drv" localSheetId="5" hidden="1">1</definedName>
    <definedName name="solver_drv" localSheetId="2" hidden="1">1</definedName>
    <definedName name="solver_drv" localSheetId="1" hidden="1">1</definedName>
    <definedName name="solver_drv" localSheetId="3" hidden="1">1</definedName>
    <definedName name="solver_drv" localSheetId="11" hidden="1">1</definedName>
    <definedName name="solver_drv" localSheetId="8" hidden="1">1</definedName>
    <definedName name="solver_drv" localSheetId="7" hidden="1">1</definedName>
    <definedName name="solver_eng" localSheetId="4" hidden="1">1</definedName>
    <definedName name="solver_eng" localSheetId="6" hidden="1">1</definedName>
    <definedName name="solver_eng" localSheetId="9" hidden="1">1</definedName>
    <definedName name="solver_eng" localSheetId="12" hidden="1">1</definedName>
    <definedName name="solver_eng" localSheetId="10" hidden="1">1</definedName>
    <definedName name="solver_eng" localSheetId="5" hidden="1">1</definedName>
    <definedName name="solver_eng" localSheetId="2" hidden="1">1</definedName>
    <definedName name="solver_eng" localSheetId="1" hidden="1">1</definedName>
    <definedName name="solver_eng" localSheetId="3" hidden="1">1</definedName>
    <definedName name="solver_eng" localSheetId="11" hidden="1">1</definedName>
    <definedName name="solver_eng" localSheetId="8" hidden="1">1</definedName>
    <definedName name="solver_eng" localSheetId="7" hidden="1">1</definedName>
    <definedName name="solver_est" localSheetId="4" hidden="1">1</definedName>
    <definedName name="solver_est" localSheetId="6" hidden="1">1</definedName>
    <definedName name="solver_est" localSheetId="9" hidden="1">1</definedName>
    <definedName name="solver_est" localSheetId="12" hidden="1">1</definedName>
    <definedName name="solver_est" localSheetId="10" hidden="1">1</definedName>
    <definedName name="solver_est" localSheetId="5" hidden="1">1</definedName>
    <definedName name="solver_est" localSheetId="2" hidden="1">1</definedName>
    <definedName name="solver_est" localSheetId="1" hidden="1">1</definedName>
    <definedName name="solver_est" localSheetId="3" hidden="1">1</definedName>
    <definedName name="solver_est" localSheetId="11" hidden="1">1</definedName>
    <definedName name="solver_est" localSheetId="8" hidden="1">1</definedName>
    <definedName name="solver_est" localSheetId="7" hidden="1">1</definedName>
    <definedName name="solver_itr" localSheetId="4" hidden="1">2147483647</definedName>
    <definedName name="solver_itr" localSheetId="6" hidden="1">2147483647</definedName>
    <definedName name="solver_itr" localSheetId="9" hidden="1">2147483647</definedName>
    <definedName name="solver_itr" localSheetId="12" hidden="1">2147483647</definedName>
    <definedName name="solver_itr" localSheetId="10" hidden="1">2147483647</definedName>
    <definedName name="solver_itr" localSheetId="5" hidden="1">2147483647</definedName>
    <definedName name="solver_itr" localSheetId="2" hidden="1">2147483647</definedName>
    <definedName name="solver_itr" localSheetId="1" hidden="1">2147483647</definedName>
    <definedName name="solver_itr" localSheetId="3" hidden="1">2147483647</definedName>
    <definedName name="solver_itr" localSheetId="11" hidden="1">2147483647</definedName>
    <definedName name="solver_itr" localSheetId="8" hidden="1">2147483647</definedName>
    <definedName name="solver_itr" localSheetId="7" hidden="1">2147483647</definedName>
    <definedName name="solver_mip" localSheetId="4" hidden="1">2147483647</definedName>
    <definedName name="solver_mip" localSheetId="6" hidden="1">2147483647</definedName>
    <definedName name="solver_mip" localSheetId="9" hidden="1">2147483647</definedName>
    <definedName name="solver_mip" localSheetId="12" hidden="1">2147483647</definedName>
    <definedName name="solver_mip" localSheetId="10" hidden="1">2147483647</definedName>
    <definedName name="solver_mip" localSheetId="5" hidden="1">2147483647</definedName>
    <definedName name="solver_mip" localSheetId="2" hidden="1">2147483647</definedName>
    <definedName name="solver_mip" localSheetId="1" hidden="1">2147483647</definedName>
    <definedName name="solver_mip" localSheetId="3" hidden="1">2147483647</definedName>
    <definedName name="solver_mip" localSheetId="11" hidden="1">2147483647</definedName>
    <definedName name="solver_mip" localSheetId="8" hidden="1">2147483647</definedName>
    <definedName name="solver_mip" localSheetId="7" hidden="1">2147483647</definedName>
    <definedName name="solver_mni" localSheetId="4" hidden="1">30</definedName>
    <definedName name="solver_mni" localSheetId="6" hidden="1">30</definedName>
    <definedName name="solver_mni" localSheetId="9" hidden="1">30</definedName>
    <definedName name="solver_mni" localSheetId="12" hidden="1">30</definedName>
    <definedName name="solver_mni" localSheetId="10" hidden="1">30</definedName>
    <definedName name="solver_mni" localSheetId="5" hidden="1">30</definedName>
    <definedName name="solver_mni" localSheetId="2" hidden="1">30</definedName>
    <definedName name="solver_mni" localSheetId="1" hidden="1">30</definedName>
    <definedName name="solver_mni" localSheetId="3" hidden="1">30</definedName>
    <definedName name="solver_mni" localSheetId="11" hidden="1">30</definedName>
    <definedName name="solver_mni" localSheetId="8" hidden="1">30</definedName>
    <definedName name="solver_mni" localSheetId="7" hidden="1">30</definedName>
    <definedName name="solver_mrt" localSheetId="4" hidden="1">0.075</definedName>
    <definedName name="solver_mrt" localSheetId="6" hidden="1">0.075</definedName>
    <definedName name="solver_mrt" localSheetId="9" hidden="1">0.075</definedName>
    <definedName name="solver_mrt" localSheetId="12" hidden="1">0.075</definedName>
    <definedName name="solver_mrt" localSheetId="10" hidden="1">0.075</definedName>
    <definedName name="solver_mrt" localSheetId="5" hidden="1">0.075</definedName>
    <definedName name="solver_mrt" localSheetId="2" hidden="1">0.075</definedName>
    <definedName name="solver_mrt" localSheetId="1" hidden="1">0.075</definedName>
    <definedName name="solver_mrt" localSheetId="3" hidden="1">0.075</definedName>
    <definedName name="solver_mrt" localSheetId="11" hidden="1">0.075</definedName>
    <definedName name="solver_mrt" localSheetId="8" hidden="1">0.075</definedName>
    <definedName name="solver_mrt" localSheetId="7" hidden="1">0.075</definedName>
    <definedName name="solver_msl" localSheetId="4" hidden="1">2</definedName>
    <definedName name="solver_msl" localSheetId="6" hidden="1">2</definedName>
    <definedName name="solver_msl" localSheetId="9" hidden="1">2</definedName>
    <definedName name="solver_msl" localSheetId="12" hidden="1">2</definedName>
    <definedName name="solver_msl" localSheetId="10" hidden="1">2</definedName>
    <definedName name="solver_msl" localSheetId="5" hidden="1">2</definedName>
    <definedName name="solver_msl" localSheetId="2" hidden="1">2</definedName>
    <definedName name="solver_msl" localSheetId="1" hidden="1">2</definedName>
    <definedName name="solver_msl" localSheetId="3" hidden="1">2</definedName>
    <definedName name="solver_msl" localSheetId="11" hidden="1">2</definedName>
    <definedName name="solver_msl" localSheetId="8" hidden="1">2</definedName>
    <definedName name="solver_msl" localSheetId="7" hidden="1">2</definedName>
    <definedName name="solver_neg" localSheetId="4" hidden="1">2</definedName>
    <definedName name="solver_neg" localSheetId="6" hidden="1">2</definedName>
    <definedName name="solver_neg" localSheetId="9" hidden="1">2</definedName>
    <definedName name="solver_neg" localSheetId="12" hidden="1">2</definedName>
    <definedName name="solver_neg" localSheetId="10" hidden="1">2</definedName>
    <definedName name="solver_neg" localSheetId="5" hidden="1">1</definedName>
    <definedName name="solver_neg" localSheetId="2" hidden="1">2</definedName>
    <definedName name="solver_neg" localSheetId="1" hidden="1">2</definedName>
    <definedName name="solver_neg" localSheetId="3" hidden="1">2</definedName>
    <definedName name="solver_neg" localSheetId="11" hidden="1">2</definedName>
    <definedName name="solver_neg" localSheetId="8" hidden="1">2</definedName>
    <definedName name="solver_neg" localSheetId="7" hidden="1">2</definedName>
    <definedName name="solver_nod" localSheetId="4" hidden="1">2147483647</definedName>
    <definedName name="solver_nod" localSheetId="6" hidden="1">2147483647</definedName>
    <definedName name="solver_nod" localSheetId="9" hidden="1">2147483647</definedName>
    <definedName name="solver_nod" localSheetId="12" hidden="1">2147483647</definedName>
    <definedName name="solver_nod" localSheetId="10" hidden="1">2147483647</definedName>
    <definedName name="solver_nod" localSheetId="5" hidden="1">2147483647</definedName>
    <definedName name="solver_nod" localSheetId="2" hidden="1">2147483647</definedName>
    <definedName name="solver_nod" localSheetId="1" hidden="1">2147483647</definedName>
    <definedName name="solver_nod" localSheetId="3" hidden="1">2147483647</definedName>
    <definedName name="solver_nod" localSheetId="11" hidden="1">2147483647</definedName>
    <definedName name="solver_nod" localSheetId="8" hidden="1">2147483647</definedName>
    <definedName name="solver_nod" localSheetId="7" hidden="1">2147483647</definedName>
    <definedName name="solver_num" localSheetId="4" hidden="1">0</definedName>
    <definedName name="solver_num" localSheetId="6" hidden="1">0</definedName>
    <definedName name="solver_num" localSheetId="9" hidden="1">0</definedName>
    <definedName name="solver_num" localSheetId="12" hidden="1">0</definedName>
    <definedName name="solver_num" localSheetId="10" hidden="1">0</definedName>
    <definedName name="solver_num" localSheetId="5" hidden="1">0</definedName>
    <definedName name="solver_num" localSheetId="2" hidden="1">0</definedName>
    <definedName name="solver_num" localSheetId="1" hidden="1">0</definedName>
    <definedName name="solver_num" localSheetId="3" hidden="1">0</definedName>
    <definedName name="solver_num" localSheetId="11" hidden="1">0</definedName>
    <definedName name="solver_num" localSheetId="8" hidden="1">0</definedName>
    <definedName name="solver_num" localSheetId="7" hidden="1">0</definedName>
    <definedName name="solver_nwt" localSheetId="4" hidden="1">1</definedName>
    <definedName name="solver_nwt" localSheetId="6" hidden="1">1</definedName>
    <definedName name="solver_nwt" localSheetId="9" hidden="1">1</definedName>
    <definedName name="solver_nwt" localSheetId="12" hidden="1">1</definedName>
    <definedName name="solver_nwt" localSheetId="10" hidden="1">1</definedName>
    <definedName name="solver_nwt" localSheetId="5" hidden="1">1</definedName>
    <definedName name="solver_nwt" localSheetId="2" hidden="1">1</definedName>
    <definedName name="solver_nwt" localSheetId="1" hidden="1">1</definedName>
    <definedName name="solver_nwt" localSheetId="3" hidden="1">1</definedName>
    <definedName name="solver_nwt" localSheetId="11" hidden="1">1</definedName>
    <definedName name="solver_nwt" localSheetId="8" hidden="1">1</definedName>
    <definedName name="solver_nwt" localSheetId="7" hidden="1">1</definedName>
    <definedName name="solver_opt" localSheetId="4" hidden="1">Comparison!$H$4</definedName>
    <definedName name="solver_opt" localSheetId="6" hidden="1">ConfInterval!$H$5</definedName>
    <definedName name="solver_opt" localSheetId="9" hidden="1">Ecoli!$H$5</definedName>
    <definedName name="solver_opt" localSheetId="12" hidden="1">'Ecoli (2)'!$H$4</definedName>
    <definedName name="solver_opt" localSheetId="10" hidden="1">Elephant!$I$4</definedName>
    <definedName name="solver_opt" localSheetId="5" hidden="1">InvertLRT_Reg!$G$7</definedName>
    <definedName name="solver_opt" localSheetId="2" hidden="1">LS_scaledNewY!$I$4</definedName>
    <definedName name="solver_opt" localSheetId="1" hidden="1">MaximizeR_scaled!$F$3</definedName>
    <definedName name="solver_opt" localSheetId="3" hidden="1">ML_scaledNewY!$J$4</definedName>
    <definedName name="solver_opt" localSheetId="11" hidden="1">ToxicityData!#REF!</definedName>
    <definedName name="solver_opt" localSheetId="8" hidden="1">'y=3+2x+4x^2+5x^3'!$H$5</definedName>
    <definedName name="solver_opt" localSheetId="7" hidden="1">'y=x^3'!$H$6</definedName>
    <definedName name="solver_pre" localSheetId="4" hidden="1">0.000001</definedName>
    <definedName name="solver_pre" localSheetId="6" hidden="1">0.000001</definedName>
    <definedName name="solver_pre" localSheetId="9" hidden="1">0.000001</definedName>
    <definedName name="solver_pre" localSheetId="12" hidden="1">0.000001</definedName>
    <definedName name="solver_pre" localSheetId="10" hidden="1">0.000001</definedName>
    <definedName name="solver_pre" localSheetId="5" hidden="1">0.000001</definedName>
    <definedName name="solver_pre" localSheetId="2" hidden="1">0.000001</definedName>
    <definedName name="solver_pre" localSheetId="1" hidden="1">0.000001</definedName>
    <definedName name="solver_pre" localSheetId="3" hidden="1">0.000000001</definedName>
    <definedName name="solver_pre" localSheetId="11" hidden="1">0.000001</definedName>
    <definedName name="solver_pre" localSheetId="8" hidden="1">0.00000000000000001</definedName>
    <definedName name="solver_pre" localSheetId="7" hidden="1">0.00000000000000001</definedName>
    <definedName name="solver_rbv" localSheetId="4" hidden="1">1</definedName>
    <definedName name="solver_rbv" localSheetId="6" hidden="1">1</definedName>
    <definedName name="solver_rbv" localSheetId="9" hidden="1">1</definedName>
    <definedName name="solver_rbv" localSheetId="12" hidden="1">1</definedName>
    <definedName name="solver_rbv" localSheetId="10" hidden="1">1</definedName>
    <definedName name="solver_rbv" localSheetId="5" hidden="1">1</definedName>
    <definedName name="solver_rbv" localSheetId="2" hidden="1">1</definedName>
    <definedName name="solver_rbv" localSheetId="1" hidden="1">1</definedName>
    <definedName name="solver_rbv" localSheetId="3" hidden="1">1</definedName>
    <definedName name="solver_rbv" localSheetId="11" hidden="1">1</definedName>
    <definedName name="solver_rbv" localSheetId="8" hidden="1">1</definedName>
    <definedName name="solver_rbv" localSheetId="7" hidden="1">1</definedName>
    <definedName name="solver_rlx" localSheetId="4" hidden="1">2</definedName>
    <definedName name="solver_rlx" localSheetId="6" hidden="1">2</definedName>
    <definedName name="solver_rlx" localSheetId="9" hidden="1">2</definedName>
    <definedName name="solver_rlx" localSheetId="12" hidden="1">2</definedName>
    <definedName name="solver_rlx" localSheetId="10" hidden="1">2</definedName>
    <definedName name="solver_rlx" localSheetId="5" hidden="1">2</definedName>
    <definedName name="solver_rlx" localSheetId="2" hidden="1">2</definedName>
    <definedName name="solver_rlx" localSheetId="1" hidden="1">2</definedName>
    <definedName name="solver_rlx" localSheetId="3" hidden="1">2</definedName>
    <definedName name="solver_rlx" localSheetId="11" hidden="1">2</definedName>
    <definedName name="solver_rlx" localSheetId="8" hidden="1">2</definedName>
    <definedName name="solver_rlx" localSheetId="7" hidden="1">2</definedName>
    <definedName name="solver_rsd" localSheetId="4" hidden="1">0</definedName>
    <definedName name="solver_rsd" localSheetId="6" hidden="1">0</definedName>
    <definedName name="solver_rsd" localSheetId="9" hidden="1">0</definedName>
    <definedName name="solver_rsd" localSheetId="12" hidden="1">0</definedName>
    <definedName name="solver_rsd" localSheetId="10" hidden="1">0</definedName>
    <definedName name="solver_rsd" localSheetId="5" hidden="1">0</definedName>
    <definedName name="solver_rsd" localSheetId="2" hidden="1">0</definedName>
    <definedName name="solver_rsd" localSheetId="1" hidden="1">0</definedName>
    <definedName name="solver_rsd" localSheetId="3" hidden="1">0</definedName>
    <definedName name="solver_rsd" localSheetId="11" hidden="1">0</definedName>
    <definedName name="solver_rsd" localSheetId="8" hidden="1">0</definedName>
    <definedName name="solver_rsd" localSheetId="7" hidden="1">0</definedName>
    <definedName name="solver_scl" localSheetId="4" hidden="1">1</definedName>
    <definedName name="solver_scl" localSheetId="6" hidden="1">1</definedName>
    <definedName name="solver_scl" localSheetId="9" hidden="1">1</definedName>
    <definedName name="solver_scl" localSheetId="12" hidden="1">1</definedName>
    <definedName name="solver_scl" localSheetId="10" hidden="1">1</definedName>
    <definedName name="solver_scl" localSheetId="5" hidden="1">1</definedName>
    <definedName name="solver_scl" localSheetId="2" hidden="1">1</definedName>
    <definedName name="solver_scl" localSheetId="1" hidden="1">1</definedName>
    <definedName name="solver_scl" localSheetId="3" hidden="1">1</definedName>
    <definedName name="solver_scl" localSheetId="11" hidden="1">1</definedName>
    <definedName name="solver_scl" localSheetId="8" hidden="1">1</definedName>
    <definedName name="solver_scl" localSheetId="7" hidden="1">1</definedName>
    <definedName name="solver_sho" localSheetId="4" hidden="1">2</definedName>
    <definedName name="solver_sho" localSheetId="6" hidden="1">2</definedName>
    <definedName name="solver_sho" localSheetId="9" hidden="1">2</definedName>
    <definedName name="solver_sho" localSheetId="12" hidden="1">2</definedName>
    <definedName name="solver_sho" localSheetId="10" hidden="1">2</definedName>
    <definedName name="solver_sho" localSheetId="5" hidden="1">2</definedName>
    <definedName name="solver_sho" localSheetId="2" hidden="1">2</definedName>
    <definedName name="solver_sho" localSheetId="1" hidden="1">2</definedName>
    <definedName name="solver_sho" localSheetId="3" hidden="1">2</definedName>
    <definedName name="solver_sho" localSheetId="11" hidden="1">2</definedName>
    <definedName name="solver_sho" localSheetId="8" hidden="1">2</definedName>
    <definedName name="solver_sho" localSheetId="7" hidden="1">2</definedName>
    <definedName name="solver_ssz" localSheetId="4" hidden="1">100</definedName>
    <definedName name="solver_ssz" localSheetId="6" hidden="1">100</definedName>
    <definedName name="solver_ssz" localSheetId="9" hidden="1">100</definedName>
    <definedName name="solver_ssz" localSheetId="12" hidden="1">100</definedName>
    <definedName name="solver_ssz" localSheetId="10" hidden="1">100</definedName>
    <definedName name="solver_ssz" localSheetId="5" hidden="1">100</definedName>
    <definedName name="solver_ssz" localSheetId="2" hidden="1">100</definedName>
    <definedName name="solver_ssz" localSheetId="1" hidden="1">100</definedName>
    <definedName name="solver_ssz" localSheetId="3" hidden="1">100</definedName>
    <definedName name="solver_ssz" localSheetId="11" hidden="1">100</definedName>
    <definedName name="solver_ssz" localSheetId="8" hidden="1">100</definedName>
    <definedName name="solver_ssz" localSheetId="7" hidden="1">100</definedName>
    <definedName name="solver_tim" localSheetId="4" hidden="1">2147483647</definedName>
    <definedName name="solver_tim" localSheetId="6" hidden="1">2147483647</definedName>
    <definedName name="solver_tim" localSheetId="9" hidden="1">2147483647</definedName>
    <definedName name="solver_tim" localSheetId="12" hidden="1">2147483647</definedName>
    <definedName name="solver_tim" localSheetId="10" hidden="1">2147483647</definedName>
    <definedName name="solver_tim" localSheetId="5" hidden="1">2147483647</definedName>
    <definedName name="solver_tim" localSheetId="2" hidden="1">2147483647</definedName>
    <definedName name="solver_tim" localSheetId="1" hidden="1">2147483647</definedName>
    <definedName name="solver_tim" localSheetId="3" hidden="1">2147483647</definedName>
    <definedName name="solver_tim" localSheetId="11" hidden="1">2147483647</definedName>
    <definedName name="solver_tim" localSheetId="8" hidden="1">2147483647</definedName>
    <definedName name="solver_tim" localSheetId="7" hidden="1">2147483647</definedName>
    <definedName name="solver_tol" localSheetId="4" hidden="1">0.01</definedName>
    <definedName name="solver_tol" localSheetId="6" hidden="1">0.01</definedName>
    <definedName name="solver_tol" localSheetId="9" hidden="1">0.01</definedName>
    <definedName name="solver_tol" localSheetId="12" hidden="1">0.01</definedName>
    <definedName name="solver_tol" localSheetId="10" hidden="1">0.01</definedName>
    <definedName name="solver_tol" localSheetId="5" hidden="1">0.01</definedName>
    <definedName name="solver_tol" localSheetId="2" hidden="1">0.01</definedName>
    <definedName name="solver_tol" localSheetId="1" hidden="1">0.01</definedName>
    <definedName name="solver_tol" localSheetId="3" hidden="1">0.01</definedName>
    <definedName name="solver_tol" localSheetId="11" hidden="1">0.01</definedName>
    <definedName name="solver_tol" localSheetId="8" hidden="1">0.01</definedName>
    <definedName name="solver_tol" localSheetId="7" hidden="1">0.01</definedName>
    <definedName name="solver_typ" localSheetId="4" hidden="1">1</definedName>
    <definedName name="solver_typ" localSheetId="6" hidden="1">1</definedName>
    <definedName name="solver_typ" localSheetId="9" hidden="1">1</definedName>
    <definedName name="solver_typ" localSheetId="12" hidden="1">1</definedName>
    <definedName name="solver_typ" localSheetId="10" hidden="1">1</definedName>
    <definedName name="solver_typ" localSheetId="5" hidden="1">1</definedName>
    <definedName name="solver_typ" localSheetId="2" hidden="1">2</definedName>
    <definedName name="solver_typ" localSheetId="1" hidden="1">1</definedName>
    <definedName name="solver_typ" localSheetId="3" hidden="1">1</definedName>
    <definedName name="solver_typ" localSheetId="11" hidden="1">1</definedName>
    <definedName name="solver_typ" localSheetId="8" hidden="1">1</definedName>
    <definedName name="solver_typ" localSheetId="7" hidden="1">1</definedName>
    <definedName name="solver_val" localSheetId="4" hidden="1">0</definedName>
    <definedName name="solver_val" localSheetId="6" hidden="1">0</definedName>
    <definedName name="solver_val" localSheetId="9" hidden="1">0</definedName>
    <definedName name="solver_val" localSheetId="12" hidden="1">0</definedName>
    <definedName name="solver_val" localSheetId="10" hidden="1">0</definedName>
    <definedName name="solver_val" localSheetId="5" hidden="1">0</definedName>
    <definedName name="solver_val" localSheetId="2" hidden="1">0</definedName>
    <definedName name="solver_val" localSheetId="1" hidden="1">0</definedName>
    <definedName name="solver_val" localSheetId="3" hidden="1">0</definedName>
    <definedName name="solver_val" localSheetId="11" hidden="1">0</definedName>
    <definedName name="solver_val" localSheetId="8" hidden="1">0</definedName>
    <definedName name="solver_val" localSheetId="7" hidden="1">0</definedName>
    <definedName name="solver_ver" localSheetId="4" hidden="1">3</definedName>
    <definedName name="solver_ver" localSheetId="6" hidden="1">3</definedName>
    <definedName name="solver_ver" localSheetId="9" hidden="1">3</definedName>
    <definedName name="solver_ver" localSheetId="12" hidden="1">3</definedName>
    <definedName name="solver_ver" localSheetId="10" hidden="1">3</definedName>
    <definedName name="solver_ver" localSheetId="5" hidden="1">3</definedName>
    <definedName name="solver_ver" localSheetId="2" hidden="1">3</definedName>
    <definedName name="solver_ver" localSheetId="1" hidden="1">3</definedName>
    <definedName name="solver_ver" localSheetId="3" hidden="1">3</definedName>
    <definedName name="solver_ver" localSheetId="11" hidden="1">3</definedName>
    <definedName name="solver_ver" localSheetId="8" hidden="1">3</definedName>
    <definedName name="solver_ver" localSheetId="7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5" l="1"/>
  <c r="C19" i="25"/>
  <c r="C18" i="25"/>
  <c r="C17" i="25"/>
  <c r="C16" i="25"/>
  <c r="C15" i="25"/>
  <c r="C14" i="25"/>
  <c r="C13" i="25"/>
  <c r="C12" i="25"/>
  <c r="C11" i="25"/>
  <c r="C10" i="25"/>
  <c r="C9" i="25"/>
  <c r="C8" i="25"/>
  <c r="C7" i="25"/>
  <c r="C6" i="25"/>
  <c r="F2" i="25"/>
  <c r="D20" i="25" s="1"/>
  <c r="C5" i="25"/>
  <c r="C4" i="25"/>
  <c r="C3" i="25"/>
  <c r="C2" i="25"/>
  <c r="D9" i="25" l="1"/>
  <c r="D17" i="25"/>
  <c r="D12" i="25"/>
  <c r="D3" i="25"/>
  <c r="D2" i="25"/>
  <c r="D6" i="25"/>
  <c r="D19" i="25"/>
  <c r="D8" i="25"/>
  <c r="D16" i="25"/>
  <c r="D13" i="25"/>
  <c r="D14" i="25"/>
  <c r="D5" i="25"/>
  <c r="D11" i="25"/>
  <c r="D4" i="25"/>
  <c r="D10" i="25"/>
  <c r="D18" i="25"/>
  <c r="D7" i="25"/>
  <c r="D15" i="25"/>
  <c r="K5" i="21"/>
  <c r="I12" i="15"/>
  <c r="C3" i="15"/>
  <c r="C4" i="15"/>
  <c r="C5" i="15"/>
  <c r="C6" i="15"/>
  <c r="C7" i="15"/>
  <c r="C8" i="15"/>
  <c r="C9" i="15"/>
  <c r="C10" i="15"/>
  <c r="C11" i="15"/>
  <c r="C12" i="15"/>
  <c r="C13" i="15"/>
  <c r="C14" i="15"/>
  <c r="C2" i="15"/>
  <c r="H12" i="14"/>
  <c r="H11" i="14"/>
  <c r="I5" i="20"/>
  <c r="F3" i="25" l="1"/>
  <c r="D3" i="20"/>
  <c r="D4" i="20"/>
  <c r="D5" i="20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" i="20"/>
  <c r="I3" i="20" l="1"/>
  <c r="I2" i="20" s="1"/>
  <c r="I6" i="20"/>
  <c r="K4" i="24"/>
  <c r="C16" i="24"/>
  <c r="D16" i="24"/>
  <c r="C17" i="24"/>
  <c r="D17" i="24"/>
  <c r="D15" i="24"/>
  <c r="C15" i="24"/>
  <c r="D14" i="24"/>
  <c r="C14" i="24"/>
  <c r="D13" i="24"/>
  <c r="C13" i="24"/>
  <c r="D12" i="24"/>
  <c r="C12" i="24"/>
  <c r="D11" i="24"/>
  <c r="C11" i="24"/>
  <c r="D10" i="24"/>
  <c r="C10" i="24"/>
  <c r="D9" i="24"/>
  <c r="C9" i="24"/>
  <c r="H8" i="24"/>
  <c r="D8" i="24"/>
  <c r="C8" i="24"/>
  <c r="D7" i="24"/>
  <c r="C7" i="24"/>
  <c r="D6" i="24"/>
  <c r="C6" i="24"/>
  <c r="D5" i="24"/>
  <c r="C5" i="24"/>
  <c r="D4" i="24"/>
  <c r="C4" i="24"/>
  <c r="D3" i="24"/>
  <c r="C3" i="24"/>
  <c r="D2" i="24"/>
  <c r="C2" i="24"/>
  <c r="H11" i="24" l="1"/>
  <c r="H2" i="24"/>
  <c r="H3" i="24" s="1"/>
  <c r="B21" i="19"/>
  <c r="E16" i="24" l="1"/>
  <c r="F16" i="24" s="1"/>
  <c r="E17" i="24"/>
  <c r="F17" i="24" s="1"/>
  <c r="E15" i="24"/>
  <c r="F15" i="24" s="1"/>
  <c r="E13" i="24"/>
  <c r="F13" i="24" s="1"/>
  <c r="E11" i="24"/>
  <c r="F11" i="24" s="1"/>
  <c r="E7" i="24"/>
  <c r="F7" i="24" s="1"/>
  <c r="E2" i="24"/>
  <c r="F2" i="24" s="1"/>
  <c r="E14" i="24"/>
  <c r="F14" i="24" s="1"/>
  <c r="E12" i="24"/>
  <c r="F12" i="24" s="1"/>
  <c r="E5" i="24"/>
  <c r="F5" i="24" s="1"/>
  <c r="E10" i="24"/>
  <c r="F10" i="24" s="1"/>
  <c r="E6" i="24"/>
  <c r="F6" i="24" s="1"/>
  <c r="E3" i="24"/>
  <c r="F3" i="24" s="1"/>
  <c r="E8" i="24"/>
  <c r="F8" i="24" s="1"/>
  <c r="E4" i="24"/>
  <c r="F4" i="24" s="1"/>
  <c r="E9" i="24"/>
  <c r="F9" i="24" s="1"/>
  <c r="C2" i="22"/>
  <c r="D2" i="22"/>
  <c r="C3" i="22"/>
  <c r="D3" i="22" s="1"/>
  <c r="C4" i="22"/>
  <c r="D4" i="22" s="1"/>
  <c r="C5" i="22"/>
  <c r="D5" i="22" s="1"/>
  <c r="C6" i="22"/>
  <c r="D6" i="22" s="1"/>
  <c r="C7" i="22"/>
  <c r="D7" i="22" s="1"/>
  <c r="C8" i="22"/>
  <c r="D8" i="22"/>
  <c r="C9" i="22"/>
  <c r="D9" i="22" s="1"/>
  <c r="C10" i="22"/>
  <c r="D10" i="22"/>
  <c r="C11" i="22"/>
  <c r="D11" i="22" s="1"/>
  <c r="C12" i="22"/>
  <c r="D12" i="22" s="1"/>
  <c r="C13" i="22"/>
  <c r="D13" i="22" s="1"/>
  <c r="C14" i="22"/>
  <c r="D14" i="22" s="1"/>
  <c r="C15" i="22"/>
  <c r="D15" i="22" s="1"/>
  <c r="C16" i="22"/>
  <c r="D16" i="22" s="1"/>
  <c r="C17" i="22"/>
  <c r="D17" i="22"/>
  <c r="C18" i="22"/>
  <c r="D18" i="22"/>
  <c r="C19" i="22"/>
  <c r="D19" i="22" s="1"/>
  <c r="C20" i="22"/>
  <c r="D20" i="22" s="1"/>
  <c r="C21" i="22"/>
  <c r="D21" i="22" s="1"/>
  <c r="L21" i="22"/>
  <c r="L22" i="22" s="1"/>
  <c r="C22" i="22"/>
  <c r="D22" i="22"/>
  <c r="C23" i="22"/>
  <c r="D23" i="22" s="1"/>
  <c r="C24" i="22"/>
  <c r="D24" i="22" s="1"/>
  <c r="C25" i="22"/>
  <c r="D25" i="22" s="1"/>
  <c r="C26" i="22"/>
  <c r="D26" i="22" s="1"/>
  <c r="C27" i="22"/>
  <c r="D27" i="22" s="1"/>
  <c r="C28" i="22"/>
  <c r="D28" i="22" s="1"/>
  <c r="C29" i="22"/>
  <c r="D29" i="22"/>
  <c r="C30" i="22"/>
  <c r="D30" i="22" s="1"/>
  <c r="C31" i="22"/>
  <c r="D31" i="22"/>
  <c r="D20" i="21"/>
  <c r="C20" i="21"/>
  <c r="D19" i="21"/>
  <c r="C19" i="21"/>
  <c r="D18" i="21"/>
  <c r="C18" i="21"/>
  <c r="D17" i="21"/>
  <c r="C17" i="21"/>
  <c r="D16" i="21"/>
  <c r="C16" i="21"/>
  <c r="D15" i="21"/>
  <c r="C15" i="21"/>
  <c r="D14" i="21"/>
  <c r="C14" i="21"/>
  <c r="D13" i="21"/>
  <c r="C13" i="21"/>
  <c r="D12" i="21"/>
  <c r="C12" i="21"/>
  <c r="D11" i="21"/>
  <c r="C11" i="21"/>
  <c r="D10" i="21"/>
  <c r="C10" i="21"/>
  <c r="D9" i="21"/>
  <c r="C9" i="21"/>
  <c r="H8" i="21"/>
  <c r="D8" i="21"/>
  <c r="C8" i="21"/>
  <c r="D7" i="21"/>
  <c r="C7" i="21"/>
  <c r="D6" i="21"/>
  <c r="C6" i="21"/>
  <c r="D5" i="21"/>
  <c r="C5" i="21"/>
  <c r="D4" i="21"/>
  <c r="C4" i="21"/>
  <c r="D3" i="21"/>
  <c r="H2" i="21" s="1"/>
  <c r="H3" i="21" s="1"/>
  <c r="C3" i="21"/>
  <c r="D2" i="21"/>
  <c r="C2" i="21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C6" i="20"/>
  <c r="C5" i="20"/>
  <c r="C4" i="20"/>
  <c r="C3" i="20"/>
  <c r="C2" i="20"/>
  <c r="D3" i="19"/>
  <c r="D4" i="19"/>
  <c r="D5" i="19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" i="19"/>
  <c r="J6" i="19"/>
  <c r="C20" i="19"/>
  <c r="C19" i="19"/>
  <c r="C18" i="19"/>
  <c r="C17" i="19"/>
  <c r="C16" i="19"/>
  <c r="C15" i="19"/>
  <c r="C14" i="19"/>
  <c r="C13" i="19"/>
  <c r="C12" i="19"/>
  <c r="C11" i="19"/>
  <c r="C10" i="19"/>
  <c r="C9" i="19"/>
  <c r="C8" i="19"/>
  <c r="C7" i="19"/>
  <c r="C6" i="19"/>
  <c r="C5" i="19"/>
  <c r="C4" i="19"/>
  <c r="C3" i="19"/>
  <c r="C2" i="19"/>
  <c r="B3" i="17"/>
  <c r="B4" i="17"/>
  <c r="B5" i="17"/>
  <c r="B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" i="17"/>
  <c r="D21" i="19" l="1"/>
  <c r="H9" i="24"/>
  <c r="D32" i="22"/>
  <c r="E32" i="22" s="1"/>
  <c r="L24" i="22"/>
  <c r="L23" i="22"/>
  <c r="F18" i="21"/>
  <c r="E7" i="21"/>
  <c r="F7" i="21" s="1"/>
  <c r="E4" i="21"/>
  <c r="F4" i="21" s="1"/>
  <c r="E20" i="21"/>
  <c r="F20" i="21" s="1"/>
  <c r="E18" i="21"/>
  <c r="E16" i="21"/>
  <c r="E14" i="21"/>
  <c r="F14" i="21" s="1"/>
  <c r="E12" i="21"/>
  <c r="E10" i="21"/>
  <c r="F10" i="21" s="1"/>
  <c r="E2" i="21"/>
  <c r="F2" i="21" s="1"/>
  <c r="E9" i="21"/>
  <c r="F9" i="21" s="1"/>
  <c r="E5" i="21"/>
  <c r="F5" i="21" s="1"/>
  <c r="E8" i="21"/>
  <c r="E19" i="21"/>
  <c r="E17" i="21"/>
  <c r="F17" i="21" s="1"/>
  <c r="E15" i="21"/>
  <c r="E13" i="21"/>
  <c r="E6" i="21"/>
  <c r="F6" i="21" s="1"/>
  <c r="E3" i="21"/>
  <c r="F3" i="21" s="1"/>
  <c r="E11" i="21"/>
  <c r="F11" i="21" s="1"/>
  <c r="F15" i="21"/>
  <c r="F19" i="21"/>
  <c r="F13" i="21"/>
  <c r="F8" i="21"/>
  <c r="F12" i="21"/>
  <c r="F16" i="21"/>
  <c r="H11" i="21"/>
  <c r="I7" i="15"/>
  <c r="B3" i="18"/>
  <c r="B4" i="18"/>
  <c r="D4" i="18" s="1"/>
  <c r="B5" i="18"/>
  <c r="B6" i="18"/>
  <c r="D6" i="18" s="1"/>
  <c r="B7" i="18"/>
  <c r="B8" i="18"/>
  <c r="B9" i="18"/>
  <c r="B10" i="18"/>
  <c r="D10" i="18" s="1"/>
  <c r="B11" i="18"/>
  <c r="B12" i="18"/>
  <c r="C12" i="18" s="1"/>
  <c r="B13" i="18"/>
  <c r="B14" i="18"/>
  <c r="D14" i="18" s="1"/>
  <c r="B15" i="18"/>
  <c r="B16" i="18"/>
  <c r="B17" i="18"/>
  <c r="B18" i="18"/>
  <c r="C18" i="18" s="1"/>
  <c r="B19" i="18"/>
  <c r="D19" i="18" s="1"/>
  <c r="B20" i="18"/>
  <c r="D20" i="18" s="1"/>
  <c r="B21" i="18"/>
  <c r="D21" i="18" s="1"/>
  <c r="B2" i="18"/>
  <c r="C20" i="18"/>
  <c r="C19" i="18"/>
  <c r="D18" i="18"/>
  <c r="D17" i="18"/>
  <c r="C17" i="18"/>
  <c r="D16" i="18"/>
  <c r="C15" i="18"/>
  <c r="D15" i="18"/>
  <c r="D13" i="18"/>
  <c r="D12" i="18"/>
  <c r="D11" i="18"/>
  <c r="D9" i="18"/>
  <c r="C9" i="18"/>
  <c r="H8" i="18"/>
  <c r="H9" i="18" s="1"/>
  <c r="D8" i="18"/>
  <c r="C8" i="18"/>
  <c r="D7" i="18"/>
  <c r="C7" i="18"/>
  <c r="D5" i="18"/>
  <c r="D3" i="18"/>
  <c r="D2" i="18"/>
  <c r="C3" i="17"/>
  <c r="C4" i="17"/>
  <c r="H8" i="17"/>
  <c r="D2" i="17"/>
  <c r="D3" i="17"/>
  <c r="D4" i="17"/>
  <c r="D5" i="17"/>
  <c r="D6" i="17"/>
  <c r="C7" i="17"/>
  <c r="C8" i="17"/>
  <c r="C9" i="17"/>
  <c r="C10" i="17"/>
  <c r="C11" i="17"/>
  <c r="D12" i="17"/>
  <c r="D13" i="17"/>
  <c r="D14" i="17"/>
  <c r="C15" i="17"/>
  <c r="C16" i="17"/>
  <c r="C17" i="17"/>
  <c r="C18" i="17"/>
  <c r="C19" i="17"/>
  <c r="D20" i="17"/>
  <c r="D21" i="17"/>
  <c r="H9" i="17"/>
  <c r="E14" i="15"/>
  <c r="D14" i="15"/>
  <c r="E13" i="15"/>
  <c r="D13" i="15"/>
  <c r="E12" i="15"/>
  <c r="D12" i="15"/>
  <c r="E11" i="15"/>
  <c r="D11" i="15"/>
  <c r="E10" i="15"/>
  <c r="D10" i="15"/>
  <c r="E9" i="15"/>
  <c r="D9" i="15"/>
  <c r="I8" i="15"/>
  <c r="E8" i="15"/>
  <c r="D8" i="15"/>
  <c r="E7" i="15"/>
  <c r="D7" i="15"/>
  <c r="E6" i="15"/>
  <c r="D6" i="15"/>
  <c r="E5" i="15"/>
  <c r="D5" i="15"/>
  <c r="E4" i="15"/>
  <c r="D4" i="15"/>
  <c r="E3" i="15"/>
  <c r="D3" i="15"/>
  <c r="E2" i="15"/>
  <c r="D2" i="15"/>
  <c r="D15" i="14"/>
  <c r="C15" i="14"/>
  <c r="D14" i="14"/>
  <c r="C14" i="14"/>
  <c r="D13" i="14"/>
  <c r="C13" i="14"/>
  <c r="D12" i="14"/>
  <c r="C12" i="14"/>
  <c r="D11" i="14"/>
  <c r="C11" i="14"/>
  <c r="D10" i="14"/>
  <c r="C10" i="14"/>
  <c r="D9" i="14"/>
  <c r="C9" i="14"/>
  <c r="H8" i="14"/>
  <c r="D8" i="14"/>
  <c r="C8" i="14"/>
  <c r="D7" i="14"/>
  <c r="C7" i="14"/>
  <c r="D6" i="14"/>
  <c r="C6" i="14"/>
  <c r="D5" i="14"/>
  <c r="C5" i="14"/>
  <c r="D4" i="14"/>
  <c r="C4" i="14"/>
  <c r="D3" i="14"/>
  <c r="C3" i="14"/>
  <c r="D2" i="14"/>
  <c r="C2" i="14"/>
  <c r="I11" i="15" l="1"/>
  <c r="H4" i="24"/>
  <c r="H5" i="24"/>
  <c r="E30" i="22"/>
  <c r="E25" i="22"/>
  <c r="E3" i="22"/>
  <c r="E13" i="22"/>
  <c r="E28" i="22"/>
  <c r="E24" i="22"/>
  <c r="E12" i="22"/>
  <c r="E9" i="22"/>
  <c r="E7" i="22"/>
  <c r="E20" i="22"/>
  <c r="E31" i="22"/>
  <c r="E5" i="22"/>
  <c r="E11" i="22"/>
  <c r="E2" i="22"/>
  <c r="E8" i="22"/>
  <c r="E4" i="22"/>
  <c r="E23" i="22"/>
  <c r="E16" i="22"/>
  <c r="E15" i="22"/>
  <c r="E10" i="22"/>
  <c r="E29" i="22"/>
  <c r="E21" i="22"/>
  <c r="E17" i="22"/>
  <c r="E6" i="22"/>
  <c r="E27" i="22"/>
  <c r="E14" i="22"/>
  <c r="E26" i="22"/>
  <c r="E18" i="22"/>
  <c r="E22" i="22"/>
  <c r="E19" i="22"/>
  <c r="H9" i="21"/>
  <c r="I2" i="15"/>
  <c r="I3" i="15" s="1"/>
  <c r="H2" i="14"/>
  <c r="H3" i="14" s="1"/>
  <c r="H2" i="18"/>
  <c r="H3" i="18" s="1"/>
  <c r="C20" i="17"/>
  <c r="D19" i="17"/>
  <c r="D17" i="17"/>
  <c r="C14" i="17"/>
  <c r="D16" i="17"/>
  <c r="C12" i="17"/>
  <c r="D11" i="17"/>
  <c r="D9" i="17"/>
  <c r="C6" i="17"/>
  <c r="D8" i="17"/>
  <c r="H12" i="18"/>
  <c r="C4" i="18"/>
  <c r="C11" i="18"/>
  <c r="C14" i="18"/>
  <c r="C3" i="18"/>
  <c r="C10" i="18"/>
  <c r="C16" i="18"/>
  <c r="C6" i="18"/>
  <c r="C13" i="18"/>
  <c r="C21" i="18"/>
  <c r="C2" i="18"/>
  <c r="C5" i="18"/>
  <c r="C2" i="17"/>
  <c r="C21" i="17"/>
  <c r="C13" i="17"/>
  <c r="C5" i="17"/>
  <c r="D18" i="17"/>
  <c r="D10" i="17"/>
  <c r="D15" i="17"/>
  <c r="D7" i="17"/>
  <c r="B3" i="12"/>
  <c r="C3" i="12" s="1"/>
  <c r="B4" i="12"/>
  <c r="C4" i="12" s="1"/>
  <c r="B5" i="12"/>
  <c r="C5" i="12" s="1"/>
  <c r="B6" i="12"/>
  <c r="C6" i="12" s="1"/>
  <c r="B7" i="12"/>
  <c r="C7" i="12" s="1"/>
  <c r="B8" i="12"/>
  <c r="C8" i="12" s="1"/>
  <c r="B9" i="12"/>
  <c r="C9" i="12" s="1"/>
  <c r="B10" i="12"/>
  <c r="C10" i="12" s="1"/>
  <c r="B11" i="12"/>
  <c r="C11" i="12" s="1"/>
  <c r="B12" i="12"/>
  <c r="C12" i="12" s="1"/>
  <c r="B13" i="12"/>
  <c r="C13" i="12" s="1"/>
  <c r="B14" i="12"/>
  <c r="C14" i="12" s="1"/>
  <c r="B15" i="12"/>
  <c r="C15" i="12" s="1"/>
  <c r="B16" i="12"/>
  <c r="C16" i="12" s="1"/>
  <c r="B17" i="12"/>
  <c r="C17" i="12" s="1"/>
  <c r="B18" i="12"/>
  <c r="C18" i="12" s="1"/>
  <c r="B19" i="12"/>
  <c r="C19" i="12" s="1"/>
  <c r="B20" i="12"/>
  <c r="C20" i="12" s="1"/>
  <c r="B21" i="12"/>
  <c r="C21" i="12" s="1"/>
  <c r="B22" i="12"/>
  <c r="C22" i="12" s="1"/>
  <c r="B23" i="12"/>
  <c r="C23" i="12" s="1"/>
  <c r="B24" i="12"/>
  <c r="C24" i="12" s="1"/>
  <c r="B25" i="12"/>
  <c r="C25" i="12" s="1"/>
  <c r="B26" i="12"/>
  <c r="C26" i="12" s="1"/>
  <c r="B27" i="12"/>
  <c r="C27" i="12" s="1"/>
  <c r="B28" i="12"/>
  <c r="C28" i="12" s="1"/>
  <c r="B29" i="12"/>
  <c r="C29" i="12" s="1"/>
  <c r="B30" i="12"/>
  <c r="C30" i="12" s="1"/>
  <c r="B31" i="12"/>
  <c r="C31" i="12" s="1"/>
  <c r="B32" i="12"/>
  <c r="C32" i="12" s="1"/>
  <c r="B2" i="12"/>
  <c r="C2" i="12" s="1"/>
  <c r="G7" i="22" l="1"/>
  <c r="G8" i="22" s="1"/>
  <c r="G9" i="22" s="1"/>
  <c r="H5" i="21"/>
  <c r="H4" i="21"/>
  <c r="K6" i="21" s="1"/>
  <c r="F3" i="15"/>
  <c r="G3" i="15" s="1"/>
  <c r="F5" i="15"/>
  <c r="G5" i="15" s="1"/>
  <c r="F13" i="15"/>
  <c r="G13" i="15" s="1"/>
  <c r="F6" i="15"/>
  <c r="G6" i="15" s="1"/>
  <c r="F14" i="15"/>
  <c r="G14" i="15" s="1"/>
  <c r="F2" i="15"/>
  <c r="G2" i="15" s="1"/>
  <c r="F7" i="15"/>
  <c r="G7" i="15" s="1"/>
  <c r="F8" i="15"/>
  <c r="G8" i="15" s="1"/>
  <c r="F9" i="15"/>
  <c r="G9" i="15" s="1"/>
  <c r="F10" i="15"/>
  <c r="G10" i="15" s="1"/>
  <c r="F11" i="15"/>
  <c r="G11" i="15" s="1"/>
  <c r="F4" i="15"/>
  <c r="G4" i="15" s="1"/>
  <c r="F12" i="15"/>
  <c r="G12" i="15" s="1"/>
  <c r="E3" i="14"/>
  <c r="F3" i="14" s="1"/>
  <c r="E13" i="14"/>
  <c r="F13" i="14" s="1"/>
  <c r="E15" i="14"/>
  <c r="F15" i="14" s="1"/>
  <c r="E5" i="14"/>
  <c r="F5" i="14" s="1"/>
  <c r="E7" i="14"/>
  <c r="F7" i="14" s="1"/>
  <c r="E9" i="14"/>
  <c r="F9" i="14" s="1"/>
  <c r="E4" i="14"/>
  <c r="F4" i="14" s="1"/>
  <c r="E10" i="14"/>
  <c r="F10" i="14" s="1"/>
  <c r="E12" i="14"/>
  <c r="F12" i="14" s="1"/>
  <c r="E2" i="14"/>
  <c r="F2" i="14" s="1"/>
  <c r="E14" i="14"/>
  <c r="F14" i="14" s="1"/>
  <c r="E11" i="14"/>
  <c r="F11" i="14" s="1"/>
  <c r="E6" i="14"/>
  <c r="F6" i="14" s="1"/>
  <c r="E8" i="14"/>
  <c r="F8" i="14" s="1"/>
  <c r="E20" i="18"/>
  <c r="F20" i="18" s="1"/>
  <c r="E21" i="18"/>
  <c r="F21" i="18" s="1"/>
  <c r="E6" i="18"/>
  <c r="F6" i="18" s="1"/>
  <c r="E15" i="18"/>
  <c r="F15" i="18" s="1"/>
  <c r="E4" i="18"/>
  <c r="F4" i="18" s="1"/>
  <c r="E13" i="18"/>
  <c r="F13" i="18" s="1"/>
  <c r="E12" i="18"/>
  <c r="F12" i="18" s="1"/>
  <c r="E9" i="18"/>
  <c r="F9" i="18" s="1"/>
  <c r="E5" i="18"/>
  <c r="F5" i="18" s="1"/>
  <c r="E18" i="18"/>
  <c r="F18" i="18" s="1"/>
  <c r="E8" i="18"/>
  <c r="F8" i="18" s="1"/>
  <c r="E3" i="18"/>
  <c r="F3" i="18" s="1"/>
  <c r="E19" i="18"/>
  <c r="F19" i="18" s="1"/>
  <c r="E10" i="18"/>
  <c r="F10" i="18" s="1"/>
  <c r="E17" i="18"/>
  <c r="F17" i="18" s="1"/>
  <c r="E2" i="18"/>
  <c r="F2" i="18" s="1"/>
  <c r="E14" i="18"/>
  <c r="F14" i="18" s="1"/>
  <c r="E16" i="18"/>
  <c r="F16" i="18" s="1"/>
  <c r="E11" i="18"/>
  <c r="F11" i="18" s="1"/>
  <c r="E7" i="18"/>
  <c r="F7" i="18" s="1"/>
  <c r="H2" i="17"/>
  <c r="D3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" i="1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" i="1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H8" i="1"/>
  <c r="I9" i="15" l="1"/>
  <c r="I5" i="15" s="1"/>
  <c r="H9" i="14"/>
  <c r="H4" i="14" s="1"/>
  <c r="H10" i="18"/>
  <c r="H6" i="18" s="1"/>
  <c r="H3" i="17"/>
  <c r="D2" i="1"/>
  <c r="I4" i="15" l="1"/>
  <c r="H5" i="14"/>
  <c r="H5" i="18"/>
  <c r="E3" i="17"/>
  <c r="E11" i="17"/>
  <c r="E19" i="17"/>
  <c r="E4" i="17"/>
  <c r="E12" i="17"/>
  <c r="E20" i="17"/>
  <c r="E9" i="17"/>
  <c r="E5" i="17"/>
  <c r="E13" i="17"/>
  <c r="E21" i="17"/>
  <c r="E16" i="17"/>
  <c r="E18" i="17"/>
  <c r="E6" i="17"/>
  <c r="E14" i="17"/>
  <c r="E2" i="17"/>
  <c r="E15" i="17"/>
  <c r="E8" i="17"/>
  <c r="E17" i="17"/>
  <c r="E7" i="17"/>
  <c r="E10" i="17"/>
  <c r="H2" i="1"/>
  <c r="H3" i="1" s="1"/>
  <c r="H11" i="1"/>
  <c r="C2" i="1"/>
  <c r="E10" i="1" l="1"/>
  <c r="F10" i="1" s="1"/>
  <c r="E4" i="1"/>
  <c r="E12" i="1"/>
  <c r="F12" i="1" s="1"/>
  <c r="E20" i="1"/>
  <c r="F20" i="1" s="1"/>
  <c r="E5" i="1"/>
  <c r="F5" i="1" s="1"/>
  <c r="E13" i="1"/>
  <c r="F13" i="1" s="1"/>
  <c r="E2" i="1"/>
  <c r="F2" i="1" s="1"/>
  <c r="E6" i="1"/>
  <c r="F6" i="1" s="1"/>
  <c r="E14" i="1"/>
  <c r="F14" i="1" s="1"/>
  <c r="E15" i="1"/>
  <c r="F15" i="1" s="1"/>
  <c r="E8" i="1"/>
  <c r="E16" i="1"/>
  <c r="F16" i="1" s="1"/>
  <c r="E17" i="1"/>
  <c r="F17" i="1" s="1"/>
  <c r="E19" i="1"/>
  <c r="F19" i="1" s="1"/>
  <c r="E11" i="1"/>
  <c r="F11" i="1" s="1"/>
  <c r="E7" i="1"/>
  <c r="F7" i="1" s="1"/>
  <c r="E3" i="1"/>
  <c r="E9" i="1"/>
  <c r="F9" i="1" s="1"/>
  <c r="E18" i="1"/>
  <c r="F18" i="1" s="1"/>
  <c r="F3" i="17" l="1"/>
  <c r="F2" i="17"/>
  <c r="F9" i="17"/>
  <c r="F16" i="17"/>
  <c r="F15" i="17"/>
  <c r="F13" i="17"/>
  <c r="F7" i="17"/>
  <c r="F8" i="17"/>
  <c r="F19" i="17"/>
  <c r="F20" i="17"/>
  <c r="F17" i="17"/>
  <c r="F12" i="17"/>
  <c r="F21" i="17"/>
  <c r="F5" i="17"/>
  <c r="F18" i="17"/>
  <c r="H12" i="17"/>
  <c r="F11" i="17"/>
  <c r="F6" i="17"/>
  <c r="F10" i="17"/>
  <c r="F4" i="17"/>
  <c r="F14" i="17"/>
  <c r="H10" i="17" l="1"/>
  <c r="H5" i="17" s="1"/>
  <c r="H6" i="17" l="1"/>
  <c r="F4" i="1" l="1"/>
  <c r="F3" i="1"/>
  <c r="F8" i="1"/>
  <c r="H9" i="1" l="1"/>
  <c r="H5" i="1" s="1"/>
  <c r="H4" i="1" l="1"/>
  <c r="J3" i="19" l="1"/>
  <c r="J2" i="19" s="1"/>
  <c r="J7" i="19"/>
  <c r="E5" i="19" l="1"/>
  <c r="E14" i="19"/>
  <c r="E4" i="19"/>
  <c r="E17" i="19"/>
  <c r="E6" i="19"/>
  <c r="E15" i="19"/>
  <c r="E11" i="19"/>
  <c r="E8" i="19"/>
  <c r="E13" i="19"/>
  <c r="E10" i="19"/>
  <c r="E12" i="19"/>
  <c r="E19" i="19"/>
  <c r="E7" i="19"/>
  <c r="E9" i="19"/>
  <c r="E20" i="19"/>
  <c r="E2" i="19"/>
  <c r="E16" i="19"/>
  <c r="E18" i="19"/>
  <c r="E3" i="19"/>
  <c r="F8" i="19" l="1"/>
  <c r="G8" i="19"/>
  <c r="G15" i="19"/>
  <c r="F15" i="19"/>
  <c r="F20" i="19"/>
  <c r="G20" i="19"/>
  <c r="G6" i="19"/>
  <c r="F6" i="19"/>
  <c r="F2" i="19"/>
  <c r="G2" i="19"/>
  <c r="G11" i="19"/>
  <c r="F11" i="19"/>
  <c r="F9" i="19"/>
  <c r="G9" i="19"/>
  <c r="F7" i="19"/>
  <c r="G7" i="19"/>
  <c r="F19" i="19"/>
  <c r="G19" i="19"/>
  <c r="F17" i="19"/>
  <c r="G17" i="19"/>
  <c r="F3" i="19"/>
  <c r="G3" i="19"/>
  <c r="G12" i="19"/>
  <c r="F12" i="19"/>
  <c r="F4" i="19"/>
  <c r="G4" i="19"/>
  <c r="G18" i="19"/>
  <c r="F18" i="19"/>
  <c r="G10" i="19"/>
  <c r="F10" i="19"/>
  <c r="F14" i="19"/>
  <c r="G14" i="19"/>
  <c r="G16" i="19"/>
  <c r="F16" i="19"/>
  <c r="F13" i="19"/>
  <c r="G13" i="19"/>
  <c r="G5" i="19"/>
  <c r="F5" i="19"/>
  <c r="J5" i="19" l="1"/>
  <c r="H14" i="19" s="1"/>
  <c r="H6" i="19" l="1"/>
  <c r="H4" i="19"/>
  <c r="H16" i="19"/>
  <c r="H19" i="19"/>
  <c r="H12" i="19"/>
  <c r="H5" i="19"/>
  <c r="H20" i="19"/>
  <c r="H15" i="19"/>
  <c r="H9" i="19"/>
  <c r="H8" i="19"/>
  <c r="H11" i="19"/>
  <c r="H3" i="19"/>
  <c r="H18" i="19"/>
  <c r="H7" i="19"/>
  <c r="H13" i="19"/>
  <c r="H10" i="19"/>
  <c r="H2" i="19"/>
  <c r="H17" i="19"/>
  <c r="J4" i="19" l="1"/>
  <c r="E10" i="20" l="1"/>
  <c r="E4" i="20"/>
  <c r="E16" i="20"/>
  <c r="E6" i="20"/>
  <c r="E11" i="20"/>
  <c r="E18" i="20"/>
  <c r="E8" i="20"/>
  <c r="E5" i="20"/>
  <c r="E9" i="20"/>
  <c r="E12" i="20"/>
  <c r="E13" i="20"/>
  <c r="E15" i="20"/>
  <c r="E2" i="20"/>
  <c r="E7" i="20"/>
  <c r="E3" i="20"/>
  <c r="E20" i="20"/>
  <c r="E14" i="20"/>
  <c r="E17" i="20"/>
  <c r="E19" i="20"/>
  <c r="G12" i="20" l="1"/>
  <c r="F12" i="20"/>
  <c r="G8" i="20"/>
  <c r="F8" i="20"/>
  <c r="G9" i="20"/>
  <c r="F9" i="20"/>
  <c r="G18" i="20"/>
  <c r="F18" i="20"/>
  <c r="G14" i="20"/>
  <c r="F14" i="20"/>
  <c r="F17" i="20"/>
  <c r="G17" i="20"/>
  <c r="F4" i="20"/>
  <c r="G4" i="20"/>
  <c r="F20" i="20"/>
  <c r="G20" i="20"/>
  <c r="G5" i="20"/>
  <c r="F5" i="20"/>
  <c r="G3" i="20"/>
  <c r="F3" i="20"/>
  <c r="F7" i="20"/>
  <c r="G7" i="20"/>
  <c r="F2" i="20"/>
  <c r="G2" i="20"/>
  <c r="I4" i="20" s="1"/>
  <c r="G11" i="20"/>
  <c r="F11" i="20"/>
  <c r="F15" i="20"/>
  <c r="G15" i="20"/>
  <c r="F6" i="20"/>
  <c r="G6" i="20"/>
  <c r="F19" i="20"/>
  <c r="G19" i="20"/>
  <c r="F13" i="20"/>
  <c r="G13" i="20"/>
  <c r="G16" i="20"/>
  <c r="F16" i="20"/>
  <c r="G10" i="20"/>
  <c r="F10" i="20"/>
</calcChain>
</file>

<file path=xl/comments1.xml><?xml version="1.0" encoding="utf-8"?>
<comments xmlns="http://schemas.openxmlformats.org/spreadsheetml/2006/main">
  <authors>
    <author>xxia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xxia:</t>
        </r>
        <r>
          <rPr>
            <sz val="9"/>
            <color indexed="81"/>
            <rFont val="Tahoma"/>
            <family val="2"/>
          </rPr>
          <t xml:space="preserve">
Reverse-transformed Y</t>
        </r>
      </text>
    </comment>
  </commentList>
</comments>
</file>

<file path=xl/sharedStrings.xml><?xml version="1.0" encoding="utf-8"?>
<sst xmlns="http://schemas.openxmlformats.org/spreadsheetml/2006/main" count="219" uniqueCount="98">
  <si>
    <t>x</t>
  </si>
  <si>
    <t>y</t>
  </si>
  <si>
    <t>lambda</t>
  </si>
  <si>
    <t>lnY</t>
  </si>
  <si>
    <t>a</t>
  </si>
  <si>
    <t>b</t>
  </si>
  <si>
    <t>res</t>
  </si>
  <si>
    <t>NewY</t>
  </si>
  <si>
    <t>EY</t>
  </si>
  <si>
    <t>lnL</t>
  </si>
  <si>
    <t>var</t>
  </si>
  <si>
    <t>std</t>
  </si>
  <si>
    <t>lnL_SR</t>
  </si>
  <si>
    <t>lnL_Li</t>
  </si>
  <si>
    <t>r</t>
  </si>
  <si>
    <t>EnewY</t>
  </si>
  <si>
    <t>T</t>
  </si>
  <si>
    <t>Density</t>
  </si>
  <si>
    <t>L</t>
  </si>
  <si>
    <t>W</t>
  </si>
  <si>
    <t>NewW</t>
  </si>
  <si>
    <t>n</t>
  </si>
  <si>
    <t>DF</t>
  </si>
  <si>
    <t>R^2</t>
  </si>
  <si>
    <t>res^2</t>
  </si>
  <si>
    <t>RSS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</si>
  <si>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</si>
  <si>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</si>
  <si>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</si>
  <si>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</si>
  <si>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</si>
  <si>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</si>
  <si>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</si>
  <si>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</si>
  <si>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</si>
  <si>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</si>
  <si>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</si>
  <si>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</si>
  <si>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</si>
  <si>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</si>
  <si>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</si>
  <si>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</si>
  <si>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</si>
  <si>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</si>
  <si>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</si>
  <si>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</si>
  <si>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</si>
  <si>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</si>
  <si>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</si>
  <si>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</si>
  <si>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</t>
  </si>
  <si>
    <t>Dosage</t>
  </si>
  <si>
    <t>Mortality</t>
  </si>
  <si>
    <t>logit</t>
  </si>
  <si>
    <t>Y</t>
  </si>
  <si>
    <t>BC_Y</t>
  </si>
  <si>
    <t>This least-squares approach requires to fit the linear model,so it generates not only the best lambda, but also the intercept and slope.</t>
  </si>
  <si>
    <t>probit</t>
  </si>
  <si>
    <t>Box-Cox transformation generally good when derivative of the function represented by the curve increases or decreases monotonously.</t>
  </si>
  <si>
    <t xml:space="preserve">   It is not good when the derivative increases and then decreases, such as in the case of a sigmoidal relationship</t>
  </si>
  <si>
    <t xml:space="preserve">  In this case one needs to use either the probit or logit transformation</t>
  </si>
  <si>
    <t>Replace lambda value to obtain different shapes of transformed Y (BC_Y)</t>
  </si>
  <si>
    <t>The way you can bend a linear relationship to curves is also the way you can bend the curve to a linear relationship</t>
  </si>
  <si>
    <t>RTY</t>
  </si>
  <si>
    <t>b*x</t>
  </si>
  <si>
    <t>Here are the two forms of the likelihood function of Box-Cox (1964) transformation</t>
  </si>
  <si>
    <t>The correlation achieved is greater than previous likelihood functions</t>
  </si>
  <si>
    <t>Lambda is almost 0, i.e,. the log-transformation we used is alright</t>
  </si>
  <si>
    <t>Box-Cox transformation is generally good when derivative of the function represented by the curve increases or decreases monotonously.</t>
  </si>
  <si>
    <t>Not good when the derivative first increases and then decreases, or first decreses and increases.</t>
  </si>
  <si>
    <t>E(NewY)</t>
  </si>
  <si>
    <t>y=x^n</t>
  </si>
  <si>
    <t>n = 2</t>
  </si>
  <si>
    <t>n=3</t>
  </si>
  <si>
    <t>n=4</t>
  </si>
  <si>
    <t>n=5</t>
  </si>
  <si>
    <t>GeoMean</t>
  </si>
  <si>
    <t>Optimal</t>
  </si>
  <si>
    <t>2*(lnL_max-L)</t>
  </si>
  <si>
    <t>p</t>
  </si>
  <si>
    <t>We want to find a small lambda and a large lambda that leads to p = 0.05</t>
  </si>
  <si>
    <t>These two lambda values are then the lower and upper limits</t>
  </si>
  <si>
    <t>UL</t>
  </si>
  <si>
    <t>LL</t>
  </si>
  <si>
    <t>t.inv*SE</t>
  </si>
  <si>
    <t>t.inv</t>
  </si>
  <si>
    <t>2*(max lnL - lnL)</t>
  </si>
  <si>
    <t>max lnL</t>
  </si>
  <si>
    <t>Ey</t>
  </si>
  <si>
    <t>&lt;-- With the scaling variable, G^(lambda-1), where G is geometric mean of y, introduced in NewY, the two Stds now are similar.</t>
  </si>
  <si>
    <t>GE</t>
  </si>
  <si>
    <t>SE</t>
  </si>
  <si>
    <t>X</t>
  </si>
  <si>
    <t>r_BoxCox</t>
  </si>
  <si>
    <t>r_log</t>
  </si>
  <si>
    <t>r_ln</t>
  </si>
  <si>
    <t>ln(L)</t>
  </si>
  <si>
    <t>ln(W)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</si>
</sst>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2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Versatility!$B$1</c:f>
              <c:strCache>
                <c:ptCount val="1"/>
                <c:pt idx="0">
                  <c:v>BC_Y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Versatility!$A$2:$A$32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Versatility!$B$2:$B$32</c:f>
              <c:numCache>
                <c:formatCode>General</c:formatCode>
                <c:ptCount val="31"/>
                <c:pt idx="0">
                  <c:v>0</c:v>
                </c:pt>
                <c:pt idx="1">
                  <c:v>3.75</c:v>
                </c:pt>
                <c:pt idx="2">
                  <c:v>20</c:v>
                </c:pt>
                <c:pt idx="3">
                  <c:v>63.75</c:v>
                </c:pt>
                <c:pt idx="4">
                  <c:v>156</c:v>
                </c:pt>
                <c:pt idx="5">
                  <c:v>323.75</c:v>
                </c:pt>
                <c:pt idx="6">
                  <c:v>600</c:v>
                </c:pt>
                <c:pt idx="7">
                  <c:v>1023.75</c:v>
                </c:pt>
                <c:pt idx="8">
                  <c:v>1640</c:v>
                </c:pt>
                <c:pt idx="9">
                  <c:v>2499.75</c:v>
                </c:pt>
                <c:pt idx="10">
                  <c:v>3660</c:v>
                </c:pt>
                <c:pt idx="11">
                  <c:v>5183.75</c:v>
                </c:pt>
                <c:pt idx="12">
                  <c:v>7140</c:v>
                </c:pt>
                <c:pt idx="13">
                  <c:v>9603.75</c:v>
                </c:pt>
                <c:pt idx="14">
                  <c:v>12656</c:v>
                </c:pt>
                <c:pt idx="15">
                  <c:v>16383.75</c:v>
                </c:pt>
                <c:pt idx="16">
                  <c:v>20880</c:v>
                </c:pt>
                <c:pt idx="17">
                  <c:v>26243.75</c:v>
                </c:pt>
                <c:pt idx="18">
                  <c:v>32580</c:v>
                </c:pt>
                <c:pt idx="19">
                  <c:v>39999.75</c:v>
                </c:pt>
                <c:pt idx="20">
                  <c:v>48620</c:v>
                </c:pt>
                <c:pt idx="21">
                  <c:v>58563.75</c:v>
                </c:pt>
                <c:pt idx="22">
                  <c:v>69960</c:v>
                </c:pt>
                <c:pt idx="23">
                  <c:v>82943.75</c:v>
                </c:pt>
                <c:pt idx="24">
                  <c:v>97656</c:v>
                </c:pt>
                <c:pt idx="25">
                  <c:v>114243.75</c:v>
                </c:pt>
                <c:pt idx="26">
                  <c:v>132860</c:v>
                </c:pt>
                <c:pt idx="27">
                  <c:v>153663.75</c:v>
                </c:pt>
                <c:pt idx="28">
                  <c:v>176820</c:v>
                </c:pt>
                <c:pt idx="29">
                  <c:v>202499.75</c:v>
                </c:pt>
                <c:pt idx="30">
                  <c:v>230880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76-423A-90D7-997A5EC11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0811551"/>
        <c:axId val="900827775"/>
      </c:scatterChart>
      <c:valAx>
        <c:axId val="9008115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0827775"/>
        <c:crosses val="autoZero"/>
        <c:crossBetween val="midCat"/>
      </c:valAx>
      <c:valAx>
        <c:axId val="900827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08115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MaximizeR_scaled!$B$1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MaximizeR_scaled!$A$2:$A$20</c:f>
              <c:numCache>
                <c:formatCode>General</c:formatCode>
                <c:ptCount val="19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17</c:v>
                </c:pt>
                <c:pt idx="4">
                  <c:v>25</c:v>
                </c:pt>
                <c:pt idx="5">
                  <c:v>33</c:v>
                </c:pt>
                <c:pt idx="6">
                  <c:v>41</c:v>
                </c:pt>
                <c:pt idx="7">
                  <c:v>49</c:v>
                </c:pt>
                <c:pt idx="8">
                  <c:v>57</c:v>
                </c:pt>
                <c:pt idx="9">
                  <c:v>65</c:v>
                </c:pt>
                <c:pt idx="10">
                  <c:v>73</c:v>
                </c:pt>
                <c:pt idx="11">
                  <c:v>81</c:v>
                </c:pt>
                <c:pt idx="12">
                  <c:v>89</c:v>
                </c:pt>
                <c:pt idx="13">
                  <c:v>97</c:v>
                </c:pt>
                <c:pt idx="14">
                  <c:v>105</c:v>
                </c:pt>
                <c:pt idx="15">
                  <c:v>113</c:v>
                </c:pt>
                <c:pt idx="16">
                  <c:v>121</c:v>
                </c:pt>
                <c:pt idx="17">
                  <c:v>129</c:v>
                </c:pt>
                <c:pt idx="18">
                  <c:v>137</c:v>
                </c:pt>
              </c:numCache>
            </c:numRef>
          </c:xVal>
          <c:yVal>
            <c:numRef>
              <c:f>MaximizeR_scaled!$B$2:$B$20</c:f>
              <c:numCache>
                <c:formatCode>General</c:formatCode>
                <c:ptCount val="19"/>
                <c:pt idx="0">
                  <c:v>1.1881999999999999</c:v>
                </c:pt>
                <c:pt idx="1">
                  <c:v>1.2625</c:v>
                </c:pt>
                <c:pt idx="2">
                  <c:v>1.3506</c:v>
                </c:pt>
                <c:pt idx="3">
                  <c:v>1.4348000000000001</c:v>
                </c:pt>
                <c:pt idx="4">
                  <c:v>1.4897</c:v>
                </c:pt>
                <c:pt idx="5">
                  <c:v>1.5286999999999999</c:v>
                </c:pt>
                <c:pt idx="6">
                  <c:v>1.5602</c:v>
                </c:pt>
                <c:pt idx="7">
                  <c:v>1.5857000000000001</c:v>
                </c:pt>
                <c:pt idx="8">
                  <c:v>1.6105</c:v>
                </c:pt>
                <c:pt idx="9">
                  <c:v>1.6305000000000001</c:v>
                </c:pt>
                <c:pt idx="10">
                  <c:v>1.6496999999999999</c:v>
                </c:pt>
                <c:pt idx="11">
                  <c:v>1.6654</c:v>
                </c:pt>
                <c:pt idx="12">
                  <c:v>1.6816</c:v>
                </c:pt>
                <c:pt idx="13">
                  <c:v>1.6953</c:v>
                </c:pt>
                <c:pt idx="14">
                  <c:v>1.7094</c:v>
                </c:pt>
                <c:pt idx="15">
                  <c:v>1.7214</c:v>
                </c:pt>
                <c:pt idx="16">
                  <c:v>1.7335</c:v>
                </c:pt>
                <c:pt idx="17">
                  <c:v>1.7439</c:v>
                </c:pt>
                <c:pt idx="18">
                  <c:v>1.7554000000000001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07-4BE8-BA6C-A0E3A606A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869360"/>
        <c:axId val="283876432"/>
      </c:scatterChart>
      <c:valAx>
        <c:axId val="283869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876432"/>
        <c:crosses val="autoZero"/>
        <c:crossBetween val="midCat"/>
      </c:valAx>
      <c:valAx>
        <c:axId val="28387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869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LS_scaledNewY!$B$1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LS_scaledNewY!$A$2:$A$20</c:f>
              <c:numCache>
                <c:formatCode>General</c:formatCode>
                <c:ptCount val="19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17</c:v>
                </c:pt>
                <c:pt idx="4">
                  <c:v>25</c:v>
                </c:pt>
                <c:pt idx="5">
                  <c:v>33</c:v>
                </c:pt>
                <c:pt idx="6">
                  <c:v>41</c:v>
                </c:pt>
                <c:pt idx="7">
                  <c:v>49</c:v>
                </c:pt>
                <c:pt idx="8">
                  <c:v>57</c:v>
                </c:pt>
                <c:pt idx="9">
                  <c:v>65</c:v>
                </c:pt>
                <c:pt idx="10">
                  <c:v>73</c:v>
                </c:pt>
                <c:pt idx="11">
                  <c:v>81</c:v>
                </c:pt>
                <c:pt idx="12">
                  <c:v>89</c:v>
                </c:pt>
                <c:pt idx="13">
                  <c:v>97</c:v>
                </c:pt>
                <c:pt idx="14">
                  <c:v>105</c:v>
                </c:pt>
                <c:pt idx="15">
                  <c:v>113</c:v>
                </c:pt>
                <c:pt idx="16">
                  <c:v>121</c:v>
                </c:pt>
                <c:pt idx="17">
                  <c:v>129</c:v>
                </c:pt>
                <c:pt idx="18">
                  <c:v>137</c:v>
                </c:pt>
              </c:numCache>
            </c:numRef>
          </c:xVal>
          <c:yVal>
            <c:numRef>
              <c:f>LS_scaledNewY!$B$2:$B$20</c:f>
              <c:numCache>
                <c:formatCode>General</c:formatCode>
                <c:ptCount val="19"/>
                <c:pt idx="0">
                  <c:v>1.1881999999999999</c:v>
                </c:pt>
                <c:pt idx="1">
                  <c:v>1.2625</c:v>
                </c:pt>
                <c:pt idx="2">
                  <c:v>1.3506</c:v>
                </c:pt>
                <c:pt idx="3">
                  <c:v>1.4348000000000001</c:v>
                </c:pt>
                <c:pt idx="4">
                  <c:v>1.4897</c:v>
                </c:pt>
                <c:pt idx="5">
                  <c:v>1.5286999999999999</c:v>
                </c:pt>
                <c:pt idx="6">
                  <c:v>1.5602</c:v>
                </c:pt>
                <c:pt idx="7">
                  <c:v>1.5857000000000001</c:v>
                </c:pt>
                <c:pt idx="8">
                  <c:v>1.6105</c:v>
                </c:pt>
                <c:pt idx="9">
                  <c:v>1.6305000000000001</c:v>
                </c:pt>
                <c:pt idx="10">
                  <c:v>1.6496999999999999</c:v>
                </c:pt>
                <c:pt idx="11">
                  <c:v>1.6654</c:v>
                </c:pt>
                <c:pt idx="12">
                  <c:v>1.6816</c:v>
                </c:pt>
                <c:pt idx="13">
                  <c:v>1.6953</c:v>
                </c:pt>
                <c:pt idx="14">
                  <c:v>1.7094</c:v>
                </c:pt>
                <c:pt idx="15">
                  <c:v>1.7214</c:v>
                </c:pt>
                <c:pt idx="16">
                  <c:v>1.7335</c:v>
                </c:pt>
                <c:pt idx="17">
                  <c:v>1.7439</c:v>
                </c:pt>
                <c:pt idx="18">
                  <c:v>1.7554000000000001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400-49C2-A156-BD42626D4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869360"/>
        <c:axId val="283876432"/>
      </c:scatterChart>
      <c:valAx>
        <c:axId val="283869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876432"/>
        <c:crosses val="autoZero"/>
        <c:crossBetween val="midCat"/>
      </c:valAx>
      <c:valAx>
        <c:axId val="28387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869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ToxicityData!$C$1</c:f>
              <c:strCache>
                <c:ptCount val="1"/>
                <c:pt idx="0">
                  <c:v>probit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582086614173228E-2"/>
                  <c:y val="0.1919940215806357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>
                        <a:solidFill>
                          <a:srgbClr val="0070C0"/>
                        </a:solidFill>
                      </a:rPr>
                      <a:t>y = 0.1026x - 5.1214</a:t>
                    </a:r>
                    <a:br>
                      <a:rPr lang="en-US" baseline="0">
                        <a:solidFill>
                          <a:srgbClr val="0070C0"/>
                        </a:solidFill>
                      </a:rPr>
                    </a:br>
                    <a:r>
                      <a:rPr lang="en-US" baseline="0">
                        <a:solidFill>
                          <a:srgbClr val="0070C0"/>
                        </a:solidFill>
                      </a:rPr>
                      <a:t>R² = 0.9994</a:t>
                    </a:r>
                    <a:endParaRPr lang="en-US">
                      <a:solidFill>
                        <a:srgbClr val="0070C0"/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ToxicityData!$A$2:$A$24</c:f>
              <c:numCache>
                <c:formatCode>General</c:formatCode>
                <c:ptCount val="23"/>
                <c:pt idx="0">
                  <c:v>27</c:v>
                </c:pt>
                <c:pt idx="1">
                  <c:v>35</c:v>
                </c:pt>
                <c:pt idx="2">
                  <c:v>38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49</c:v>
                </c:pt>
                <c:pt idx="7">
                  <c:v>50</c:v>
                </c:pt>
                <c:pt idx="8">
                  <c:v>52</c:v>
                </c:pt>
                <c:pt idx="9">
                  <c:v>53</c:v>
                </c:pt>
                <c:pt idx="10">
                  <c:v>54</c:v>
                </c:pt>
                <c:pt idx="11">
                  <c:v>56</c:v>
                </c:pt>
                <c:pt idx="12">
                  <c:v>57</c:v>
                </c:pt>
                <c:pt idx="13">
                  <c:v>58</c:v>
                </c:pt>
                <c:pt idx="14">
                  <c:v>59</c:v>
                </c:pt>
                <c:pt idx="15">
                  <c:v>60</c:v>
                </c:pt>
                <c:pt idx="16">
                  <c:v>61</c:v>
                </c:pt>
                <c:pt idx="17">
                  <c:v>62</c:v>
                </c:pt>
                <c:pt idx="18">
                  <c:v>63</c:v>
                </c:pt>
                <c:pt idx="19">
                  <c:v>64</c:v>
                </c:pt>
                <c:pt idx="20">
                  <c:v>66</c:v>
                </c:pt>
                <c:pt idx="21">
                  <c:v>68</c:v>
                </c:pt>
                <c:pt idx="22">
                  <c:v>69</c:v>
                </c:pt>
              </c:numCache>
            </c:numRef>
          </c:xVal>
          <c:yVal>
            <c:numRef>
              <c:f>ToxicityData!$C$2:$C$24</c:f>
              <c:numCache>
                <c:formatCode>General</c:formatCode>
                <c:ptCount val="23"/>
                <c:pt idx="0">
                  <c:v>-2.365618126864292</c:v>
                </c:pt>
                <c:pt idx="1">
                  <c:v>-1.5204417030215289</c:v>
                </c:pt>
                <c:pt idx="2">
                  <c:v>-1.1896092716788949</c:v>
                </c:pt>
                <c:pt idx="3">
                  <c:v>-0.59925927613702712</c:v>
                </c:pt>
                <c:pt idx="4">
                  <c:v>-0.52555130159154062</c:v>
                </c:pt>
                <c:pt idx="5">
                  <c:v>-0.40428929029857891</c:v>
                </c:pt>
                <c:pt idx="6">
                  <c:v>-0.10774244402266969</c:v>
                </c:pt>
                <c:pt idx="7">
                  <c:v>-3.5092867873360934E-3</c:v>
                </c:pt>
                <c:pt idx="8">
                  <c:v>0.19371378172073259</c:v>
                </c:pt>
                <c:pt idx="9">
                  <c:v>0.32973527158829463</c:v>
                </c:pt>
                <c:pt idx="10">
                  <c:v>0.44378228136376724</c:v>
                </c:pt>
                <c:pt idx="11">
                  <c:v>0.64704935700878619</c:v>
                </c:pt>
                <c:pt idx="12">
                  <c:v>0.73129333606131108</c:v>
                </c:pt>
                <c:pt idx="13">
                  <c:v>0.80676827529828377</c:v>
                </c:pt>
                <c:pt idx="14">
                  <c:v>0.97532313126796477</c:v>
                </c:pt>
                <c:pt idx="15">
                  <c:v>0.99281524335916826</c:v>
                </c:pt>
                <c:pt idx="16">
                  <c:v>1.1724909585990237</c:v>
                </c:pt>
                <c:pt idx="17">
                  <c:v>1.2128164622072639</c:v>
                </c:pt>
                <c:pt idx="18">
                  <c:v>1.3488037808146327</c:v>
                </c:pt>
                <c:pt idx="19">
                  <c:v>1.4494928344086748</c:v>
                </c:pt>
                <c:pt idx="20">
                  <c:v>1.6943436531256106</c:v>
                </c:pt>
                <c:pt idx="21">
                  <c:v>1.8807936081512504</c:v>
                </c:pt>
                <c:pt idx="22">
                  <c:v>1.9033108187089982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9E-4948-AB90-E5DF8ADE6FD5}"/>
            </c:ext>
          </c:extLst>
        </c:ser>
        <c:ser>
          <c:idx val="1"/>
          <c:order val="1"/>
          <c:tx>
            <c:strRef>
              <c:f>ToxicityData!$D$1</c:f>
              <c:strCache>
                <c:ptCount val="1"/>
                <c:pt idx="0">
                  <c:v>logit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3.0734689413823273E-2"/>
                  <c:y val="-5.5555555555555552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>
                        <a:solidFill>
                          <a:srgbClr val="FF0000"/>
                        </a:solidFill>
                      </a:rPr>
                      <a:t>y = 0.1859x - 9.324</a:t>
                    </a:r>
                    <a:br>
                      <a:rPr lang="en-US" baseline="0">
                        <a:solidFill>
                          <a:srgbClr val="FF0000"/>
                        </a:solidFill>
                      </a:rPr>
                    </a:br>
                    <a:r>
                      <a:rPr lang="en-US" baseline="0">
                        <a:solidFill>
                          <a:srgbClr val="FF0000"/>
                        </a:solidFill>
                      </a:rPr>
                      <a:t>R² = 0.9954</a:t>
                    </a:r>
                    <a:endParaRPr lang="en-US">
                      <a:solidFill>
                        <a:srgbClr val="FF0000"/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ToxicityData!$A$2:$A$24</c:f>
              <c:numCache>
                <c:formatCode>General</c:formatCode>
                <c:ptCount val="23"/>
                <c:pt idx="0">
                  <c:v>27</c:v>
                </c:pt>
                <c:pt idx="1">
                  <c:v>35</c:v>
                </c:pt>
                <c:pt idx="2">
                  <c:v>38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49</c:v>
                </c:pt>
                <c:pt idx="7">
                  <c:v>50</c:v>
                </c:pt>
                <c:pt idx="8">
                  <c:v>52</c:v>
                </c:pt>
                <c:pt idx="9">
                  <c:v>53</c:v>
                </c:pt>
                <c:pt idx="10">
                  <c:v>54</c:v>
                </c:pt>
                <c:pt idx="11">
                  <c:v>56</c:v>
                </c:pt>
                <c:pt idx="12">
                  <c:v>57</c:v>
                </c:pt>
                <c:pt idx="13">
                  <c:v>58</c:v>
                </c:pt>
                <c:pt idx="14">
                  <c:v>59</c:v>
                </c:pt>
                <c:pt idx="15">
                  <c:v>60</c:v>
                </c:pt>
                <c:pt idx="16">
                  <c:v>61</c:v>
                </c:pt>
                <c:pt idx="17">
                  <c:v>62</c:v>
                </c:pt>
                <c:pt idx="18">
                  <c:v>63</c:v>
                </c:pt>
                <c:pt idx="19">
                  <c:v>64</c:v>
                </c:pt>
                <c:pt idx="20">
                  <c:v>66</c:v>
                </c:pt>
                <c:pt idx="21">
                  <c:v>68</c:v>
                </c:pt>
                <c:pt idx="22">
                  <c:v>69</c:v>
                </c:pt>
              </c:numCache>
            </c:numRef>
          </c:xVal>
          <c:yVal>
            <c:numRef>
              <c:f>ToxicityData!$D$2:$D$24</c:f>
              <c:numCache>
                <c:formatCode>General</c:formatCode>
                <c:ptCount val="23"/>
                <c:pt idx="0">
                  <c:v>-4.7014899569937683</c:v>
                </c:pt>
                <c:pt idx="1">
                  <c:v>-2.6793985677362007</c:v>
                </c:pt>
                <c:pt idx="2">
                  <c:v>-2.0201836733038649</c:v>
                </c:pt>
                <c:pt idx="3">
                  <c:v>-0.97190981137465748</c:v>
                </c:pt>
                <c:pt idx="4">
                  <c:v>-0.84920334876863213</c:v>
                </c:pt>
                <c:pt idx="5">
                  <c:v>-0.64995357131867071</c:v>
                </c:pt>
                <c:pt idx="6">
                  <c:v>-0.17202295557370653</c:v>
                </c:pt>
                <c:pt idx="7">
                  <c:v>-5.6000146347357123E-3</c:v>
                </c:pt>
                <c:pt idx="8">
                  <c:v>0.30965070542664963</c:v>
                </c:pt>
                <c:pt idx="9">
                  <c:v>0.52878633749242254</c:v>
                </c:pt>
                <c:pt idx="10">
                  <c:v>0.71452387894276681</c:v>
                </c:pt>
                <c:pt idx="11">
                  <c:v>1.0522149317844596</c:v>
                </c:pt>
                <c:pt idx="12">
                  <c:v>1.195369392057489</c:v>
                </c:pt>
                <c:pt idx="13">
                  <c:v>1.3255282929021004</c:v>
                </c:pt>
                <c:pt idx="14">
                  <c:v>1.6236653045782663</c:v>
                </c:pt>
                <c:pt idx="15">
                  <c:v>1.6552548925140631</c:v>
                </c:pt>
                <c:pt idx="16">
                  <c:v>1.9877038112469037</c:v>
                </c:pt>
                <c:pt idx="17">
                  <c:v>2.0644541232392188</c:v>
                </c:pt>
                <c:pt idx="18">
                  <c:v>2.3296122621865472</c:v>
                </c:pt>
                <c:pt idx="19">
                  <c:v>2.5326610810839001</c:v>
                </c:pt>
                <c:pt idx="20">
                  <c:v>3.0527243764475234</c:v>
                </c:pt>
                <c:pt idx="21">
                  <c:v>3.4760986898352719</c:v>
                </c:pt>
                <c:pt idx="22">
                  <c:v>3.5289371815428909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9E-4948-AB90-E5DF8ADE6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780543"/>
        <c:axId val="301766815"/>
      </c:scatterChart>
      <c:valAx>
        <c:axId val="301780543"/>
        <c:scaling>
          <c:orientation val="minMax"/>
          <c:max val="70"/>
          <c:min val="2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766815"/>
        <c:crossesAt val="-5"/>
        <c:crossBetween val="midCat"/>
      </c:valAx>
      <c:valAx>
        <c:axId val="301766815"/>
        <c:scaling>
          <c:orientation val="minMax"/>
          <c:min val="-5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78054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ToxicityData!$B$1</c:f>
              <c:strCache>
                <c:ptCount val="1"/>
                <c:pt idx="0">
                  <c:v>Mortality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ToxicityData!$A$2:$A$24</c:f>
              <c:numCache>
                <c:formatCode>General</c:formatCode>
                <c:ptCount val="23"/>
                <c:pt idx="0">
                  <c:v>27</c:v>
                </c:pt>
                <c:pt idx="1">
                  <c:v>35</c:v>
                </c:pt>
                <c:pt idx="2">
                  <c:v>38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49</c:v>
                </c:pt>
                <c:pt idx="7">
                  <c:v>50</c:v>
                </c:pt>
                <c:pt idx="8">
                  <c:v>52</c:v>
                </c:pt>
                <c:pt idx="9">
                  <c:v>53</c:v>
                </c:pt>
                <c:pt idx="10">
                  <c:v>54</c:v>
                </c:pt>
                <c:pt idx="11">
                  <c:v>56</c:v>
                </c:pt>
                <c:pt idx="12">
                  <c:v>57</c:v>
                </c:pt>
                <c:pt idx="13">
                  <c:v>58</c:v>
                </c:pt>
                <c:pt idx="14">
                  <c:v>59</c:v>
                </c:pt>
                <c:pt idx="15">
                  <c:v>60</c:v>
                </c:pt>
                <c:pt idx="16">
                  <c:v>61</c:v>
                </c:pt>
                <c:pt idx="17">
                  <c:v>62</c:v>
                </c:pt>
                <c:pt idx="18">
                  <c:v>63</c:v>
                </c:pt>
                <c:pt idx="19">
                  <c:v>64</c:v>
                </c:pt>
                <c:pt idx="20">
                  <c:v>66</c:v>
                </c:pt>
                <c:pt idx="21">
                  <c:v>68</c:v>
                </c:pt>
                <c:pt idx="22">
                  <c:v>69</c:v>
                </c:pt>
              </c:numCache>
            </c:numRef>
          </c:xVal>
          <c:yVal>
            <c:numRef>
              <c:f>ToxicityData!$B$2:$B$24</c:f>
              <c:numCache>
                <c:formatCode>General</c:formatCode>
                <c:ptCount val="23"/>
                <c:pt idx="0">
                  <c:v>0.9</c:v>
                </c:pt>
                <c:pt idx="1">
                  <c:v>6.42</c:v>
                </c:pt>
                <c:pt idx="2">
                  <c:v>11.71</c:v>
                </c:pt>
                <c:pt idx="3">
                  <c:v>27.45</c:v>
                </c:pt>
                <c:pt idx="4">
                  <c:v>29.96</c:v>
                </c:pt>
                <c:pt idx="5">
                  <c:v>34.299999999999997</c:v>
                </c:pt>
                <c:pt idx="6">
                  <c:v>45.71</c:v>
                </c:pt>
                <c:pt idx="7">
                  <c:v>49.86</c:v>
                </c:pt>
                <c:pt idx="8">
                  <c:v>57.68</c:v>
                </c:pt>
                <c:pt idx="9">
                  <c:v>62.92</c:v>
                </c:pt>
                <c:pt idx="10">
                  <c:v>67.14</c:v>
                </c:pt>
                <c:pt idx="11">
                  <c:v>74.12</c:v>
                </c:pt>
                <c:pt idx="12">
                  <c:v>76.77</c:v>
                </c:pt>
                <c:pt idx="13">
                  <c:v>79.010000000000005</c:v>
                </c:pt>
                <c:pt idx="14">
                  <c:v>83.53</c:v>
                </c:pt>
                <c:pt idx="15">
                  <c:v>83.96</c:v>
                </c:pt>
                <c:pt idx="16">
                  <c:v>87.95</c:v>
                </c:pt>
                <c:pt idx="17">
                  <c:v>88.74</c:v>
                </c:pt>
                <c:pt idx="18">
                  <c:v>91.13</c:v>
                </c:pt>
                <c:pt idx="19">
                  <c:v>92.64</c:v>
                </c:pt>
                <c:pt idx="20">
                  <c:v>95.49</c:v>
                </c:pt>
                <c:pt idx="21">
                  <c:v>97</c:v>
                </c:pt>
                <c:pt idx="22">
                  <c:v>97.15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28-49E2-B19B-64DE88BE0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222959"/>
        <c:axId val="501213807"/>
      </c:scatterChart>
      <c:valAx>
        <c:axId val="501222959"/>
        <c:scaling>
          <c:orientation val="minMax"/>
          <c:max val="70"/>
          <c:min val="25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213807"/>
        <c:crosses val="autoZero"/>
        <c:crossBetween val="midCat"/>
      </c:valAx>
      <c:valAx>
        <c:axId val="501213807"/>
        <c:scaling>
          <c:orientation val="minMax"/>
          <c:max val="1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2229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'Ecoli (2)'!$D$1</c:f>
              <c:strCache>
                <c:ptCount val="1"/>
                <c:pt idx="0">
                  <c:v>NewY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'Ecoli (2)'!$A$2:$A$17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13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'Ecoli (2)'!$D$2:$D$17</c:f>
              <c:numCache>
                <c:formatCode>General</c:formatCode>
                <c:ptCount val="16"/>
                <c:pt idx="0">
                  <c:v>-0.29513701642630591</c:v>
                </c:pt>
                <c:pt idx="1">
                  <c:v>-0.29309971167745191</c:v>
                </c:pt>
                <c:pt idx="2">
                  <c:v>-0.2673121207699829</c:v>
                </c:pt>
                <c:pt idx="3">
                  <c:v>-0.25394231981064141</c:v>
                </c:pt>
                <c:pt idx="4">
                  <c:v>-0.25030033895459652</c:v>
                </c:pt>
                <c:pt idx="5">
                  <c:v>-0.22576626057049942</c:v>
                </c:pt>
                <c:pt idx="6">
                  <c:v>-0.22121000328183774</c:v>
                </c:pt>
                <c:pt idx="7">
                  <c:v>-0.17367397169379539</c:v>
                </c:pt>
                <c:pt idx="8">
                  <c:v>-0.21651445744108727</c:v>
                </c:pt>
                <c:pt idx="9">
                  <c:v>-0.19629581400804744</c:v>
                </c:pt>
                <c:pt idx="10">
                  <c:v>-0.17956239459467233</c:v>
                </c:pt>
                <c:pt idx="11">
                  <c:v>-0.17367397169379539</c:v>
                </c:pt>
                <c:pt idx="12">
                  <c:v>-0.19629581400804744</c:v>
                </c:pt>
                <c:pt idx="13">
                  <c:v>-0.16141803190942275</c:v>
                </c:pt>
                <c:pt idx="14">
                  <c:v>-0.16141803190942275</c:v>
                </c:pt>
                <c:pt idx="15">
                  <c:v>-0.17367397169379539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11-4112-AD23-3A32A7482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632960"/>
        <c:axId val="550631296"/>
      </c:scatterChart>
      <c:valAx>
        <c:axId val="550632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631296"/>
        <c:crosses val="autoZero"/>
        <c:crossBetween val="midCat"/>
      </c:valAx>
      <c:valAx>
        <c:axId val="55063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632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6</xdr:row>
      <xdr:rowOff>52387</xdr:rowOff>
    </xdr:from>
    <xdr:to>
      <xdr:col>12</xdr:col>
      <xdr:colOff>342900</xdr:colOff>
      <xdr:row>20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9</xdr:row>
      <xdr:rowOff>185737</xdr:rowOff>
    </xdr:from>
    <xdr:to>
      <xdr:col>12</xdr:col>
      <xdr:colOff>85725</xdr:colOff>
      <xdr:row>24</xdr:row>
      <xdr:rowOff>71437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0</xdr:colOff>
      <xdr:row>5</xdr:row>
      <xdr:rowOff>0</xdr:rowOff>
    </xdr:from>
    <xdr:ext cx="2681288" cy="20056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/>
            <xdr:cNvSpPr txBox="1"/>
          </xdr:nvSpPr>
          <xdr:spPr>
            <a:xfrm>
              <a:off x="6286500" y="952500"/>
              <a:ext cx="2681288" cy="2005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200" b="0" i="1">
                        <a:latin typeface="Cambria Math" panose="02040503050406030204" pitchFamily="18" charset="0"/>
                      </a:rPr>
                      <m:t>𝑁𝑒𝑤𝑌</m:t>
                    </m:r>
                    <m:r>
                      <a:rPr lang="en-US" sz="12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200" b="0" i="1">
                        <a:latin typeface="Cambria Math" panose="02040503050406030204" pitchFamily="18" charset="0"/>
                      </a:rPr>
                      <m:t>𝑖𝑓</m:t>
                    </m:r>
                    <m:r>
                      <a:rPr lang="en-US" sz="12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n-US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𝜆</m:t>
                    </m:r>
                    <m:r>
                      <a:rPr lang="en-US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=0,</m:t>
                    </m:r>
                    <m:func>
                      <m:funcPr>
                        <m:ctrlPr>
                          <a:rPr lang="en-US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en-US" sz="12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ln</m:t>
                        </m:r>
                      </m:fName>
                      <m:e>
                        <m:d>
                          <m:dPr>
                            <m:ctrlPr>
                              <a:rPr lang="en-US" sz="12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2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𝑌</m:t>
                            </m:r>
                          </m:e>
                        </m:d>
                      </m:e>
                    </m:func>
                    <m:r>
                      <a:rPr lang="en-US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,</m:t>
                    </m:r>
                    <m:sSup>
                      <m:sSupPr>
                        <m:ctrlPr>
                          <a:rPr lang="en-US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(</m:t>
                        </m:r>
                        <m:r>
                          <a:rPr lang="en-US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𝑦</m:t>
                        </m:r>
                      </m:e>
                      <m:sup>
                        <m:r>
                          <a:rPr lang="en-US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sup>
                    </m:sSup>
                    <m:r>
                      <a:rPr lang="en-US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−1)/</m:t>
                    </m:r>
                    <m:r>
                      <a:rPr lang="en-US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𝜆</m:t>
                    </m:r>
                    <m:r>
                      <a:rPr lang="en-US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 </m:t>
                    </m:r>
                  </m:oMath>
                </m:oMathPara>
              </a14:m>
              <a:endParaRPr lang="en-US" sz="1200"/>
            </a:p>
          </xdr:txBody>
        </xdr:sp>
      </mc:Choice>
      <mc:Fallback>
        <xdr:sp macro="" textlink="">
          <xdr:nvSpPr>
            <xdr:cNvPr id="3" name="TextBox 2"/>
            <xdr:cNvSpPr txBox="1"/>
          </xdr:nvSpPr>
          <xdr:spPr>
            <a:xfrm>
              <a:off x="6286500" y="952500"/>
              <a:ext cx="2681288" cy="2005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200" b="0" i="0">
                  <a:latin typeface="Cambria Math" panose="02040503050406030204" pitchFamily="18" charset="0"/>
                </a:rPr>
                <a:t>𝑁𝑒𝑤𝑌=𝑖𝑓(</a:t>
              </a:r>
              <a:r>
                <a:rPr lang="en-US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𝜆=0,ln⁡(𝑌),〖(𝑦〗^𝜆−1)/𝜆) </a:t>
              </a:r>
              <a:endParaRPr lang="en-US" sz="12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581025</xdr:colOff>
      <xdr:row>9</xdr:row>
      <xdr:rowOff>185737</xdr:rowOff>
    </xdr:from>
    <xdr:to>
      <xdr:col>15</xdr:col>
      <xdr:colOff>85725</xdr:colOff>
      <xdr:row>24</xdr:row>
      <xdr:rowOff>71437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0</xdr:colOff>
      <xdr:row>5</xdr:row>
      <xdr:rowOff>0</xdr:rowOff>
    </xdr:from>
    <xdr:ext cx="2681288" cy="20056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6286500" y="952500"/>
              <a:ext cx="2681288" cy="2005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200" b="0" i="1">
                        <a:latin typeface="Cambria Math" panose="02040503050406030204" pitchFamily="18" charset="0"/>
                      </a:rPr>
                      <m:t>𝑁𝑒𝑤𝑌</m:t>
                    </m:r>
                    <m:r>
                      <a:rPr lang="en-US" sz="12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200" b="0" i="1">
                        <a:latin typeface="Cambria Math" panose="02040503050406030204" pitchFamily="18" charset="0"/>
                      </a:rPr>
                      <m:t>𝑖𝑓</m:t>
                    </m:r>
                    <m:r>
                      <a:rPr lang="en-US" sz="12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n-US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𝜆</m:t>
                    </m:r>
                    <m:r>
                      <a:rPr lang="en-US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=0,</m:t>
                    </m:r>
                    <m:func>
                      <m:funcPr>
                        <m:ctrlPr>
                          <a:rPr lang="en-US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en-US" sz="12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ln</m:t>
                        </m:r>
                      </m:fName>
                      <m:e>
                        <m:d>
                          <m:dPr>
                            <m:ctrlPr>
                              <a:rPr lang="en-US" sz="12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2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𝑌</m:t>
                            </m:r>
                          </m:e>
                        </m:d>
                      </m:e>
                    </m:func>
                    <m:r>
                      <a:rPr lang="en-US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,</m:t>
                    </m:r>
                    <m:sSup>
                      <m:sSupPr>
                        <m:ctrlPr>
                          <a:rPr lang="en-US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(</m:t>
                        </m:r>
                        <m:r>
                          <a:rPr lang="en-US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𝑦</m:t>
                        </m:r>
                      </m:e>
                      <m:sup>
                        <m:r>
                          <a:rPr lang="en-US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sup>
                    </m:sSup>
                    <m:r>
                      <a:rPr lang="en-US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−1)/</m:t>
                    </m:r>
                    <m:r>
                      <a:rPr lang="en-US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𝜆</m:t>
                    </m:r>
                    <m:r>
                      <a:rPr lang="en-US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 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6286500" y="952500"/>
              <a:ext cx="2681288" cy="2005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200" b="0" i="0">
                  <a:latin typeface="Cambria Math" panose="02040503050406030204" pitchFamily="18" charset="0"/>
                </a:rPr>
                <a:t>𝑁𝑒𝑤𝑌=𝑖𝑓(</a:t>
              </a:r>
              <a:r>
                <a:rPr lang="en-US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𝜆=0,ln⁡(𝑌),〖(𝑦〗^𝜆−1)/𝜆) </a:t>
              </a:r>
              <a:endParaRPr lang="en-US" sz="120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538162</xdr:colOff>
      <xdr:row>0</xdr:row>
      <xdr:rowOff>52387</xdr:rowOff>
    </xdr:from>
    <xdr:ext cx="1507336" cy="18376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7015162" y="52387"/>
              <a:ext cx="1507336" cy="1837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𝑁𝑒𝑤𝑌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=(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𝑌</m:t>
                        </m:r>
                      </m:e>
                      <m:sup>
                        <m:r>
                          <a:rPr lang="en-US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sup>
                    </m:sSup>
                    <m:r>
                      <a:rPr lang="en-US" sz="1100" i="1">
                        <a:latin typeface="Cambria Math" panose="02040503050406030204" pitchFamily="18" charset="0"/>
                      </a:rPr>
                      <m:t>−1)/(</m:t>
                    </m:r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𝜆</m:t>
                    </m:r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𝐺</m:t>
                        </m:r>
                      </m:e>
                      <m:sup>
                        <m:r>
                          <a:rPr lang="en-US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  <m:r>
                          <a:rPr lang="en-US" sz="110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en-US" sz="110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7015162" y="52387"/>
              <a:ext cx="1507336" cy="1837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𝑁𝑒𝑤𝑌=</a:t>
              </a:r>
              <a:r>
                <a:rPr lang="en-US" sz="1100" i="0">
                  <a:latin typeface="Cambria Math" panose="02040503050406030204" pitchFamily="18" charset="0"/>
                </a:rPr>
                <a:t>(</a:t>
              </a:r>
              <a:r>
                <a:rPr lang="en-US" sz="1100" b="0" i="0">
                  <a:latin typeface="Cambria Math" panose="02040503050406030204" pitchFamily="18" charset="0"/>
                </a:rPr>
                <a:t>𝑌^</a:t>
              </a:r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</a:t>
              </a:r>
              <a:r>
                <a:rPr lang="en-US" sz="1100" i="0">
                  <a:latin typeface="Cambria Math" panose="02040503050406030204" pitchFamily="18" charset="0"/>
                </a:rPr>
                <a:t>-1)/(</a:t>
              </a:r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</a:t>
              </a:r>
              <a:r>
                <a:rPr lang="en-US" sz="1100" b="0" i="0">
                  <a:latin typeface="Cambria Math" panose="02040503050406030204" pitchFamily="18" charset="0"/>
                </a:rPr>
                <a:t>𝐺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^(</a:t>
              </a:r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</a:t>
              </a:r>
              <a:r>
                <a:rPr lang="en-US" sz="1100" i="0">
                  <a:latin typeface="Cambria Math" panose="02040503050406030204" pitchFamily="18" charset="0"/>
                </a:rPr>
                <a:t>-1</a:t>
              </a:r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)</a:t>
              </a:r>
              <a:r>
                <a:rPr lang="en-US" sz="1100" i="0">
                  <a:latin typeface="Cambria Math" panose="02040503050406030204" pitchFamily="18" charset="0"/>
                </a:rPr>
                <a:t>)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6</xdr:row>
      <xdr:rowOff>166687</xdr:rowOff>
    </xdr:from>
    <xdr:to>
      <xdr:col>16</xdr:col>
      <xdr:colOff>38100</xdr:colOff>
      <xdr:row>21</xdr:row>
      <xdr:rowOff>52387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352425</xdr:colOff>
      <xdr:row>3</xdr:row>
      <xdr:rowOff>114299</xdr:rowOff>
    </xdr:from>
    <xdr:to>
      <xdr:col>8</xdr:col>
      <xdr:colOff>542925</xdr:colOff>
      <xdr:row>17</xdr:row>
      <xdr:rowOff>90486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452437</xdr:colOff>
      <xdr:row>11</xdr:row>
      <xdr:rowOff>57150</xdr:rowOff>
    </xdr:from>
    <xdr:to>
      <xdr:col>12</xdr:col>
      <xdr:colOff>566737</xdr:colOff>
      <xdr:row>25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2"/>
  <sheetViews>
    <sheetView workbookViewId="0">
      <selection activeCell="F4" sqref="F4"/>
    </sheetView>
  </sheetViews>
  <sheetFormatPr defaultRowHeight="15" x14ac:dyDescent="0.25"/>
  <sheetData>
    <row r="1" spans="1:6" x14ac:dyDescent="0.25">
      <c r="A1" t="s">
        <v>54</v>
      </c>
      <c r="B1" t="s">
        <v>55</v>
      </c>
      <c r="C1" t="s">
        <v>63</v>
      </c>
      <c r="D1" t="s">
        <v>2</v>
      </c>
      <c r="E1">
        <v>4</v>
      </c>
      <c r="F1" t="s">
        <v>61</v>
      </c>
    </row>
    <row r="2" spans="1:6" x14ac:dyDescent="0.25">
      <c r="A2">
        <v>1</v>
      </c>
      <c r="B2">
        <f t="shared" ref="B2:B32" si="0">IF(E$1=0,LN(A2),(A2^E$1 -1)/E$1)</f>
        <v>0</v>
      </c>
      <c r="C2">
        <f>IF(E$1=0, EXP(B2),(E$1*B2+1)^(1/E$1))</f>
        <v>1</v>
      </c>
      <c r="F2" t="s">
        <v>62</v>
      </c>
    </row>
    <row r="3" spans="1:6" x14ac:dyDescent="0.25">
      <c r="A3">
        <v>2</v>
      </c>
      <c r="B3">
        <f t="shared" si="0"/>
        <v>3.75</v>
      </c>
      <c r="C3">
        <f t="shared" ref="C3:C32" si="1">IF(E$1=0, EXP(B3),(E$1*B3+1)^(1/E$1))</f>
        <v>2</v>
      </c>
      <c r="F3" t="s">
        <v>68</v>
      </c>
    </row>
    <row r="4" spans="1:6" x14ac:dyDescent="0.25">
      <c r="A4">
        <v>3</v>
      </c>
      <c r="B4">
        <f t="shared" si="0"/>
        <v>20</v>
      </c>
      <c r="C4">
        <f t="shared" si="1"/>
        <v>3.0000000000000004</v>
      </c>
      <c r="F4" s="5" t="s">
        <v>69</v>
      </c>
    </row>
    <row r="5" spans="1:6" x14ac:dyDescent="0.25">
      <c r="A5">
        <v>4</v>
      </c>
      <c r="B5">
        <f t="shared" si="0"/>
        <v>63.75</v>
      </c>
      <c r="C5">
        <f t="shared" si="1"/>
        <v>4</v>
      </c>
    </row>
    <row r="6" spans="1:6" x14ac:dyDescent="0.25">
      <c r="A6">
        <v>5</v>
      </c>
      <c r="B6">
        <f t="shared" si="0"/>
        <v>156</v>
      </c>
      <c r="C6">
        <f t="shared" si="1"/>
        <v>4.9999999999999991</v>
      </c>
    </row>
    <row r="7" spans="1:6" x14ac:dyDescent="0.25">
      <c r="A7">
        <v>6</v>
      </c>
      <c r="B7">
        <f t="shared" si="0"/>
        <v>323.75</v>
      </c>
      <c r="C7">
        <f t="shared" si="1"/>
        <v>6</v>
      </c>
    </row>
    <row r="8" spans="1:6" x14ac:dyDescent="0.25">
      <c r="A8">
        <v>7</v>
      </c>
      <c r="B8">
        <f t="shared" si="0"/>
        <v>600</v>
      </c>
      <c r="C8">
        <f t="shared" si="1"/>
        <v>6.9999999999999991</v>
      </c>
    </row>
    <row r="9" spans="1:6" x14ac:dyDescent="0.25">
      <c r="A9">
        <v>8</v>
      </c>
      <c r="B9">
        <f t="shared" si="0"/>
        <v>1023.75</v>
      </c>
      <c r="C9">
        <f t="shared" si="1"/>
        <v>7.9999999999999982</v>
      </c>
    </row>
    <row r="10" spans="1:6" x14ac:dyDescent="0.25">
      <c r="A10">
        <v>9</v>
      </c>
      <c r="B10">
        <f t="shared" si="0"/>
        <v>1640</v>
      </c>
      <c r="C10">
        <f t="shared" si="1"/>
        <v>9.0000000000000018</v>
      </c>
    </row>
    <row r="11" spans="1:6" x14ac:dyDescent="0.25">
      <c r="A11">
        <v>10</v>
      </c>
      <c r="B11">
        <f t="shared" si="0"/>
        <v>2499.75</v>
      </c>
      <c r="C11">
        <f t="shared" si="1"/>
        <v>10.000000000000002</v>
      </c>
    </row>
    <row r="12" spans="1:6" x14ac:dyDescent="0.25">
      <c r="A12">
        <v>11</v>
      </c>
      <c r="B12">
        <f t="shared" si="0"/>
        <v>3660</v>
      </c>
      <c r="C12">
        <f t="shared" si="1"/>
        <v>11.000000000000002</v>
      </c>
    </row>
    <row r="13" spans="1:6" x14ac:dyDescent="0.25">
      <c r="A13">
        <v>12</v>
      </c>
      <c r="B13">
        <f t="shared" si="0"/>
        <v>5183.75</v>
      </c>
      <c r="C13">
        <f t="shared" si="1"/>
        <v>12</v>
      </c>
    </row>
    <row r="14" spans="1:6" x14ac:dyDescent="0.25">
      <c r="A14">
        <v>13</v>
      </c>
      <c r="B14">
        <f t="shared" si="0"/>
        <v>7140</v>
      </c>
      <c r="C14">
        <f t="shared" si="1"/>
        <v>13</v>
      </c>
    </row>
    <row r="15" spans="1:6" x14ac:dyDescent="0.25">
      <c r="A15">
        <v>14</v>
      </c>
      <c r="B15">
        <f t="shared" si="0"/>
        <v>9603.75</v>
      </c>
      <c r="C15">
        <f t="shared" si="1"/>
        <v>13.999999999999996</v>
      </c>
    </row>
    <row r="16" spans="1:6" x14ac:dyDescent="0.25">
      <c r="A16">
        <v>15</v>
      </c>
      <c r="B16">
        <f t="shared" si="0"/>
        <v>12656</v>
      </c>
      <c r="C16">
        <f t="shared" si="1"/>
        <v>15</v>
      </c>
    </row>
    <row r="17" spans="1:3" x14ac:dyDescent="0.25">
      <c r="A17">
        <v>16</v>
      </c>
      <c r="B17">
        <f t="shared" si="0"/>
        <v>16383.75</v>
      </c>
      <c r="C17">
        <f t="shared" si="1"/>
        <v>15.999999999999998</v>
      </c>
    </row>
    <row r="18" spans="1:3" x14ac:dyDescent="0.25">
      <c r="A18">
        <v>17</v>
      </c>
      <c r="B18">
        <f t="shared" si="0"/>
        <v>20880</v>
      </c>
      <c r="C18">
        <f t="shared" si="1"/>
        <v>17</v>
      </c>
    </row>
    <row r="19" spans="1:3" x14ac:dyDescent="0.25">
      <c r="A19">
        <v>18</v>
      </c>
      <c r="B19">
        <f t="shared" si="0"/>
        <v>26243.75</v>
      </c>
      <c r="C19">
        <f t="shared" si="1"/>
        <v>17.999999999999996</v>
      </c>
    </row>
    <row r="20" spans="1:3" x14ac:dyDescent="0.25">
      <c r="A20">
        <v>19</v>
      </c>
      <c r="B20">
        <f t="shared" si="0"/>
        <v>32580</v>
      </c>
      <c r="C20">
        <f t="shared" si="1"/>
        <v>18.999999999999996</v>
      </c>
    </row>
    <row r="21" spans="1:3" x14ac:dyDescent="0.25">
      <c r="A21">
        <v>20</v>
      </c>
      <c r="B21">
        <f t="shared" si="0"/>
        <v>39999.75</v>
      </c>
      <c r="C21">
        <f t="shared" si="1"/>
        <v>19.999999999999996</v>
      </c>
    </row>
    <row r="22" spans="1:3" x14ac:dyDescent="0.25">
      <c r="A22">
        <v>21</v>
      </c>
      <c r="B22">
        <f t="shared" si="0"/>
        <v>48620</v>
      </c>
      <c r="C22">
        <f t="shared" si="1"/>
        <v>21</v>
      </c>
    </row>
    <row r="23" spans="1:3" x14ac:dyDescent="0.25">
      <c r="A23">
        <v>22</v>
      </c>
      <c r="B23">
        <f t="shared" si="0"/>
        <v>58563.75</v>
      </c>
      <c r="C23">
        <f t="shared" si="1"/>
        <v>22.000000000000004</v>
      </c>
    </row>
    <row r="24" spans="1:3" x14ac:dyDescent="0.25">
      <c r="A24">
        <v>23</v>
      </c>
      <c r="B24">
        <f t="shared" si="0"/>
        <v>69960</v>
      </c>
      <c r="C24">
        <f t="shared" si="1"/>
        <v>23</v>
      </c>
    </row>
    <row r="25" spans="1:3" x14ac:dyDescent="0.25">
      <c r="A25">
        <v>24</v>
      </c>
      <c r="B25">
        <f t="shared" si="0"/>
        <v>82943.75</v>
      </c>
      <c r="C25">
        <f t="shared" si="1"/>
        <v>24.000000000000004</v>
      </c>
    </row>
    <row r="26" spans="1:3" x14ac:dyDescent="0.25">
      <c r="A26">
        <v>25</v>
      </c>
      <c r="B26">
        <f t="shared" si="0"/>
        <v>97656</v>
      </c>
      <c r="C26">
        <f t="shared" si="1"/>
        <v>24.999999999999996</v>
      </c>
    </row>
    <row r="27" spans="1:3" x14ac:dyDescent="0.25">
      <c r="A27">
        <v>26</v>
      </c>
      <c r="B27">
        <f t="shared" si="0"/>
        <v>114243.75</v>
      </c>
      <c r="C27">
        <f t="shared" si="1"/>
        <v>26.000000000000004</v>
      </c>
    </row>
    <row r="28" spans="1:3" x14ac:dyDescent="0.25">
      <c r="A28">
        <v>27</v>
      </c>
      <c r="B28">
        <f t="shared" si="0"/>
        <v>132860</v>
      </c>
      <c r="C28">
        <f t="shared" si="1"/>
        <v>27</v>
      </c>
    </row>
    <row r="29" spans="1:3" x14ac:dyDescent="0.25">
      <c r="A29">
        <v>28</v>
      </c>
      <c r="B29">
        <f t="shared" si="0"/>
        <v>153663.75</v>
      </c>
      <c r="C29">
        <f t="shared" si="1"/>
        <v>27.999999999999996</v>
      </c>
    </row>
    <row r="30" spans="1:3" x14ac:dyDescent="0.25">
      <c r="A30">
        <v>29</v>
      </c>
      <c r="B30">
        <f t="shared" si="0"/>
        <v>176820</v>
      </c>
      <c r="C30">
        <f t="shared" si="1"/>
        <v>29.000000000000004</v>
      </c>
    </row>
    <row r="31" spans="1:3" x14ac:dyDescent="0.25">
      <c r="A31">
        <v>30</v>
      </c>
      <c r="B31">
        <f t="shared" si="0"/>
        <v>202499.75</v>
      </c>
      <c r="C31">
        <f t="shared" si="1"/>
        <v>30.000000000000004</v>
      </c>
    </row>
    <row r="32" spans="1:3" x14ac:dyDescent="0.25">
      <c r="A32">
        <v>31</v>
      </c>
      <c r="B32">
        <f t="shared" si="0"/>
        <v>230880</v>
      </c>
      <c r="C32">
        <f t="shared" si="1"/>
        <v>31</v>
      </c>
    </row>
  </sheetData>
  <pageMargins left="0.7" right="0.7" top="0.75" bottom="0.75" header="0.3" footer="0.3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H13" sqref="H13"/>
    </sheetView>
  </sheetViews>
  <sheetFormatPr defaultRowHeight="15" x14ac:dyDescent="0.25"/>
  <cols>
    <col min="8" max="8" width="12" bestFit="1" customWidth="1"/>
  </cols>
  <sheetData>
    <row r="1" spans="1:9" x14ac:dyDescent="0.25">
      <c r="A1" t="s">
        <v>16</v>
      </c>
      <c r="B1" t="s">
        <v>17</v>
      </c>
      <c r="C1" t="s">
        <v>3</v>
      </c>
      <c r="D1" t="s">
        <v>7</v>
      </c>
      <c r="E1" t="s">
        <v>15</v>
      </c>
      <c r="F1" t="s">
        <v>6</v>
      </c>
      <c r="G1" t="s">
        <v>2</v>
      </c>
      <c r="H1">
        <v>4.4468628881775608E-4</v>
      </c>
      <c r="I1" t="s">
        <v>67</v>
      </c>
    </row>
    <row r="2" spans="1:9" x14ac:dyDescent="0.25">
      <c r="A2">
        <v>0.5</v>
      </c>
      <c r="B2">
        <v>20</v>
      </c>
      <c r="C2">
        <f t="shared" ref="C2:C15" si="0">LN(B2)</f>
        <v>2.9957322735539909</v>
      </c>
      <c r="D2">
        <f t="shared" ref="D2:D15" si="1">IF(H$1=0,C2,(B2^H$1 -1)/H$1)</f>
        <v>2.9977285588642273</v>
      </c>
      <c r="E2">
        <f>H$3+H$2*A2</f>
        <v>2.9889650137937886</v>
      </c>
      <c r="F2">
        <f>D2-E2</f>
        <v>8.7635450704386386E-3</v>
      </c>
      <c r="G2" t="s">
        <v>5</v>
      </c>
      <c r="H2">
        <f>SLOPE(D2:D15,A2:A15)</f>
        <v>1.3917805278110529</v>
      </c>
    </row>
    <row r="3" spans="1:9" x14ac:dyDescent="0.25">
      <c r="A3">
        <v>1</v>
      </c>
      <c r="B3">
        <v>39</v>
      </c>
      <c r="C3">
        <f t="shared" si="0"/>
        <v>3.6635616461296463</v>
      </c>
      <c r="D3">
        <f t="shared" si="1"/>
        <v>3.6665474867653916</v>
      </c>
      <c r="E3">
        <f t="shared" ref="E3:E15" si="2">H$3+H$2*A3</f>
        <v>3.6848552776993153</v>
      </c>
      <c r="F3">
        <f t="shared" ref="F3:F15" si="3">D3-E3</f>
        <v>-1.8307790933923762E-2</v>
      </c>
      <c r="G3" t="s">
        <v>4</v>
      </c>
      <c r="H3">
        <f>AVERAGE(D2:D15)-H2*AVERAGE(A2:A15)</f>
        <v>2.2930747498882624</v>
      </c>
    </row>
    <row r="4" spans="1:9" x14ac:dyDescent="0.25">
      <c r="A4">
        <v>1.5</v>
      </c>
      <c r="B4">
        <v>80</v>
      </c>
      <c r="C4">
        <f t="shared" si="0"/>
        <v>4.3820266346738812</v>
      </c>
      <c r="D4">
        <f t="shared" si="1"/>
        <v>4.3862988772874987</v>
      </c>
      <c r="E4">
        <f t="shared" si="2"/>
        <v>4.380745541604842</v>
      </c>
      <c r="F4">
        <f t="shared" si="3"/>
        <v>5.5533356826567015E-3</v>
      </c>
      <c r="G4" t="s">
        <v>12</v>
      </c>
      <c r="H4">
        <f>-H8/2*LN(H9)+(H1-1)*(H8/H7)*SUM(C2:C15)</f>
        <v>-29.85275803429149</v>
      </c>
    </row>
    <row r="5" spans="1:9" x14ac:dyDescent="0.25">
      <c r="A5">
        <v>2</v>
      </c>
      <c r="B5">
        <v>161</v>
      </c>
      <c r="C5">
        <f t="shared" si="0"/>
        <v>5.0814043649844631</v>
      </c>
      <c r="D5">
        <f t="shared" si="1"/>
        <v>5.0871497406754642</v>
      </c>
      <c r="E5">
        <f t="shared" si="2"/>
        <v>5.0766358055103682</v>
      </c>
      <c r="F5">
        <f t="shared" si="3"/>
        <v>1.0513935165096022E-2</v>
      </c>
      <c r="G5" t="s">
        <v>13</v>
      </c>
      <c r="H5">
        <f>-H7/2*LN(H9)+(H1-1)*SUM(C2:C15)</f>
        <v>-37.99441931637098</v>
      </c>
    </row>
    <row r="6" spans="1:9" x14ac:dyDescent="0.25">
      <c r="A6">
        <v>2.5</v>
      </c>
      <c r="B6">
        <v>317</v>
      </c>
      <c r="C6">
        <f t="shared" si="0"/>
        <v>5.7589017738772803</v>
      </c>
      <c r="D6">
        <f t="shared" si="1"/>
        <v>5.7662820717996901</v>
      </c>
      <c r="E6">
        <f t="shared" si="2"/>
        <v>5.7725260694158944</v>
      </c>
      <c r="F6">
        <f t="shared" si="3"/>
        <v>-6.2439976162043109E-3</v>
      </c>
    </row>
    <row r="7" spans="1:9" x14ac:dyDescent="0.25">
      <c r="A7">
        <v>3</v>
      </c>
      <c r="B7">
        <v>635</v>
      </c>
      <c r="C7">
        <f t="shared" si="0"/>
        <v>6.4536249988926917</v>
      </c>
      <c r="D7">
        <f t="shared" si="1"/>
        <v>6.4628942948044346</v>
      </c>
      <c r="E7">
        <f t="shared" si="2"/>
        <v>6.4684163333214215</v>
      </c>
      <c r="F7">
        <f t="shared" si="3"/>
        <v>-5.5220385169869601E-3</v>
      </c>
      <c r="G7" t="s">
        <v>21</v>
      </c>
      <c r="H7">
        <v>14</v>
      </c>
    </row>
    <row r="8" spans="1:9" x14ac:dyDescent="0.25">
      <c r="A8">
        <v>3.5</v>
      </c>
      <c r="B8">
        <v>1284</v>
      </c>
      <c r="C8">
        <f t="shared" si="0"/>
        <v>7.1577354842499066</v>
      </c>
      <c r="D8">
        <f t="shared" si="1"/>
        <v>7.1691389256196443</v>
      </c>
      <c r="E8">
        <f t="shared" si="2"/>
        <v>7.1643065972269477</v>
      </c>
      <c r="F8">
        <f t="shared" si="3"/>
        <v>4.8323283926965388E-3</v>
      </c>
      <c r="G8" t="s">
        <v>22</v>
      </c>
      <c r="H8">
        <f>H7-3</f>
        <v>11</v>
      </c>
    </row>
    <row r="9" spans="1:9" x14ac:dyDescent="0.25">
      <c r="A9">
        <v>4</v>
      </c>
      <c r="B9">
        <v>2569</v>
      </c>
      <c r="C9">
        <f t="shared" si="0"/>
        <v>7.8512719971098832</v>
      </c>
      <c r="D9">
        <f t="shared" si="1"/>
        <v>7.8649937426624525</v>
      </c>
      <c r="E9">
        <f t="shared" si="2"/>
        <v>7.860196861132474</v>
      </c>
      <c r="F9">
        <f t="shared" si="3"/>
        <v>4.7968815299785916E-3</v>
      </c>
      <c r="G9" t="s">
        <v>10</v>
      </c>
      <c r="H9">
        <f>_xlfn.VAR.S(F2:F15)</f>
        <v>7.0383972360507969E-5</v>
      </c>
    </row>
    <row r="10" spans="1:9" x14ac:dyDescent="0.25">
      <c r="A10">
        <v>4.5</v>
      </c>
      <c r="B10">
        <v>5082</v>
      </c>
      <c r="C10">
        <f t="shared" si="0"/>
        <v>8.5334601638801093</v>
      </c>
      <c r="D10">
        <f t="shared" si="1"/>
        <v>8.5496716783695152</v>
      </c>
      <c r="E10">
        <f t="shared" si="2"/>
        <v>8.5560871250380011</v>
      </c>
      <c r="F10">
        <f t="shared" si="3"/>
        <v>-6.4154466684858136E-3</v>
      </c>
    </row>
    <row r="11" spans="1:9" x14ac:dyDescent="0.25">
      <c r="A11">
        <v>5</v>
      </c>
      <c r="B11">
        <v>10220</v>
      </c>
      <c r="C11">
        <f t="shared" si="0"/>
        <v>9.2321018637576948</v>
      </c>
      <c r="D11">
        <f t="shared" si="1"/>
        <v>9.2510785089622907</v>
      </c>
      <c r="E11">
        <f t="shared" si="2"/>
        <v>9.2519773889435264</v>
      </c>
      <c r="F11">
        <f t="shared" si="3"/>
        <v>-8.9887998123572288E-4</v>
      </c>
      <c r="G11" t="s">
        <v>93</v>
      </c>
      <c r="H11">
        <f>CORREL(A2:A15,D2:D15)</f>
        <v>0.9999958473865741</v>
      </c>
    </row>
    <row r="12" spans="1:9" x14ac:dyDescent="0.25">
      <c r="A12">
        <v>5.5</v>
      </c>
      <c r="B12">
        <v>20673</v>
      </c>
      <c r="C12">
        <f t="shared" si="0"/>
        <v>9.9365837800253178</v>
      </c>
      <c r="D12">
        <f t="shared" si="1"/>
        <v>9.9585693557627319</v>
      </c>
      <c r="E12">
        <f t="shared" si="2"/>
        <v>9.9478676528490535</v>
      </c>
      <c r="F12">
        <f t="shared" si="3"/>
        <v>1.0701702913678446E-2</v>
      </c>
      <c r="G12" t="s">
        <v>95</v>
      </c>
      <c r="H12">
        <f>CORREL(A2:A15,B2:B15)</f>
        <v>0.7118076946934927</v>
      </c>
    </row>
    <row r="13" spans="1:9" x14ac:dyDescent="0.25">
      <c r="A13">
        <v>6</v>
      </c>
      <c r="B13">
        <v>40591</v>
      </c>
      <c r="C13">
        <f t="shared" si="0"/>
        <v>10.61130164613947</v>
      </c>
      <c r="D13">
        <f t="shared" si="1"/>
        <v>10.636376847801166</v>
      </c>
      <c r="E13">
        <f t="shared" si="2"/>
        <v>10.643757916754581</v>
      </c>
      <c r="F13">
        <f t="shared" si="3"/>
        <v>-7.3810689534141716E-3</v>
      </c>
    </row>
    <row r="14" spans="1:9" x14ac:dyDescent="0.25">
      <c r="A14">
        <v>6.5</v>
      </c>
      <c r="B14">
        <v>81374</v>
      </c>
      <c r="C14">
        <f t="shared" si="0"/>
        <v>11.30681109064888</v>
      </c>
      <c r="D14">
        <f t="shared" si="1"/>
        <v>11.335284022977419</v>
      </c>
      <c r="E14">
        <f t="shared" si="2"/>
        <v>11.339648180660106</v>
      </c>
      <c r="F14">
        <f t="shared" si="3"/>
        <v>-4.3641576826871642E-3</v>
      </c>
    </row>
    <row r="15" spans="1:9" x14ac:dyDescent="0.25">
      <c r="A15">
        <v>7</v>
      </c>
      <c r="B15">
        <v>163963</v>
      </c>
      <c r="C15">
        <f t="shared" si="0"/>
        <v>12.007396071596528</v>
      </c>
      <c r="D15">
        <f t="shared" si="1"/>
        <v>12.039510096164019</v>
      </c>
      <c r="E15">
        <f t="shared" si="2"/>
        <v>12.035538444565633</v>
      </c>
      <c r="F15">
        <f t="shared" si="3"/>
        <v>3.9716515983858613E-3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D2" sqref="D2"/>
    </sheetView>
  </sheetViews>
  <sheetFormatPr defaultRowHeight="15" x14ac:dyDescent="0.25"/>
  <cols>
    <col min="6" max="6" width="12.7109375" bestFit="1" customWidth="1"/>
  </cols>
  <sheetData>
    <row r="1" spans="1:9" x14ac:dyDescent="0.25">
      <c r="A1" t="s">
        <v>18</v>
      </c>
      <c r="B1" t="s">
        <v>19</v>
      </c>
      <c r="C1" t="s">
        <v>96</v>
      </c>
      <c r="D1" t="s">
        <v>97</v>
      </c>
      <c r="E1" t="s">
        <v>20</v>
      </c>
      <c r="F1" t="s">
        <v>15</v>
      </c>
      <c r="G1" t="s">
        <v>6</v>
      </c>
      <c r="H1" t="s">
        <v>2</v>
      </c>
      <c r="I1">
        <v>0.32966012074911583</v>
      </c>
    </row>
    <row r="2" spans="1:9" x14ac:dyDescent="0.25">
      <c r="A2">
        <v>0.31</v>
      </c>
      <c r="B2">
        <v>1.657</v>
      </c>
      <c r="C2">
        <f>LN(A2)</f>
        <v>-1.1711829815029451</v>
      </c>
      <c r="D2">
        <f t="shared" ref="D2:D14" si="0">LN(B2)</f>
        <v>0.50500873844442584</v>
      </c>
      <c r="E2">
        <f t="shared" ref="E2:E14" si="1">IF(I$1=0,D2,(B2^I$1 -1)/I$1)</f>
        <v>0.54947920009444018</v>
      </c>
      <c r="F2">
        <f>I$3+I$2*A2</f>
        <v>0.6518752754554038</v>
      </c>
      <c r="G2">
        <f>E2-F2</f>
        <v>-0.10239607536096362</v>
      </c>
      <c r="H2" t="s">
        <v>5</v>
      </c>
      <c r="I2">
        <f>SLOPE(E2:E15,A2:A15)</f>
        <v>6.2007338608202121</v>
      </c>
    </row>
    <row r="3" spans="1:9" x14ac:dyDescent="0.25">
      <c r="A3">
        <v>0.43</v>
      </c>
      <c r="B3">
        <v>2.5</v>
      </c>
      <c r="C3">
        <f t="shared" ref="C3:C14" si="2">LN(A3)</f>
        <v>-0.84397007029452897</v>
      </c>
      <c r="D3">
        <f t="shared" si="0"/>
        <v>0.91629073187415511</v>
      </c>
      <c r="E3">
        <f t="shared" si="1"/>
        <v>1.0697335392761989</v>
      </c>
      <c r="F3">
        <f t="shared" ref="F3:F14" si="3">I$3+I$2*A3</f>
        <v>1.3959633387538295</v>
      </c>
      <c r="G3">
        <f t="shared" ref="G3:G14" si="4">E3-F3</f>
        <v>-0.32622979947763064</v>
      </c>
      <c r="H3" t="s">
        <v>4</v>
      </c>
      <c r="I3">
        <f>AVERAGE(E2:E15)-I2*AVERAGE(A2:A15)</f>
        <v>-1.2703522213988618</v>
      </c>
    </row>
    <row r="4" spans="1:9" x14ac:dyDescent="0.25">
      <c r="A4">
        <v>0.52</v>
      </c>
      <c r="B4">
        <v>4.68</v>
      </c>
      <c r="C4">
        <f t="shared" si="2"/>
        <v>-0.65392646740666394</v>
      </c>
      <c r="D4">
        <f t="shared" si="0"/>
        <v>1.5432981099295553</v>
      </c>
      <c r="E4">
        <f t="shared" si="1"/>
        <v>2.0118718061019911</v>
      </c>
      <c r="F4">
        <f t="shared" si="3"/>
        <v>1.9540293862276483</v>
      </c>
      <c r="G4">
        <f t="shared" si="4"/>
        <v>5.7842419874342799E-2</v>
      </c>
      <c r="H4" t="s">
        <v>12</v>
      </c>
      <c r="I4">
        <f>-I8/2*LN(I9)+(I1-1)*(I8/I7)*SUM(D2:D101)</f>
        <v>-5.9480552137014566</v>
      </c>
    </row>
    <row r="5" spans="1:9" x14ac:dyDescent="0.25">
      <c r="A5">
        <v>0.59</v>
      </c>
      <c r="B5">
        <v>7.0750000000000002</v>
      </c>
      <c r="C5">
        <f t="shared" si="2"/>
        <v>-0.52763274208237199</v>
      </c>
      <c r="D5">
        <f t="shared" si="0"/>
        <v>1.9565674435293015</v>
      </c>
      <c r="E5">
        <f t="shared" si="1"/>
        <v>2.74825882534227</v>
      </c>
      <c r="F5">
        <f t="shared" si="3"/>
        <v>2.388080756485063</v>
      </c>
      <c r="G5">
        <f t="shared" si="4"/>
        <v>0.36017806885720693</v>
      </c>
      <c r="H5" t="s">
        <v>13</v>
      </c>
      <c r="I5">
        <f>-I7/2*LN(I9)+(I1-1)*SUM(D2:D101)</f>
        <v>-7.7324717778118917</v>
      </c>
    </row>
    <row r="6" spans="1:9" x14ac:dyDescent="0.25">
      <c r="A6">
        <v>0.7</v>
      </c>
      <c r="B6">
        <v>10.07</v>
      </c>
      <c r="C6">
        <f t="shared" si="2"/>
        <v>-0.35667494393873245</v>
      </c>
      <c r="D6">
        <f t="shared" si="0"/>
        <v>2.3095607067304709</v>
      </c>
      <c r="E6">
        <f t="shared" si="1"/>
        <v>3.4617708550927331</v>
      </c>
      <c r="F6">
        <f t="shared" si="3"/>
        <v>3.070161481175286</v>
      </c>
      <c r="G6">
        <f t="shared" si="4"/>
        <v>0.3916093739174471</v>
      </c>
    </row>
    <row r="7" spans="1:9" x14ac:dyDescent="0.25">
      <c r="A7">
        <v>0.83</v>
      </c>
      <c r="B7">
        <v>11.988</v>
      </c>
      <c r="C7">
        <f t="shared" si="2"/>
        <v>-0.18632957819149348</v>
      </c>
      <c r="D7">
        <f t="shared" si="0"/>
        <v>2.4839061494544166</v>
      </c>
      <c r="E7">
        <f t="shared" si="1"/>
        <v>3.8460171350410168</v>
      </c>
      <c r="F7">
        <f t="shared" si="3"/>
        <v>3.876256883081914</v>
      </c>
      <c r="G7">
        <f t="shared" si="4"/>
        <v>-3.023974804089713E-2</v>
      </c>
      <c r="H7" t="s">
        <v>21</v>
      </c>
      <c r="I7">
        <f>COUNT(A2:A14)</f>
        <v>13</v>
      </c>
    </row>
    <row r="8" spans="1:9" x14ac:dyDescent="0.25">
      <c r="A8">
        <v>0.89</v>
      </c>
      <c r="B8">
        <v>14.836</v>
      </c>
      <c r="C8">
        <f t="shared" si="2"/>
        <v>-0.11653381625595151</v>
      </c>
      <c r="D8">
        <f t="shared" si="0"/>
        <v>2.6970566596273442</v>
      </c>
      <c r="E8">
        <f t="shared" si="1"/>
        <v>4.3468050406229013</v>
      </c>
      <c r="F8">
        <f t="shared" si="3"/>
        <v>4.2483009147311268</v>
      </c>
      <c r="G8">
        <f t="shared" si="4"/>
        <v>9.8504125891774486E-2</v>
      </c>
      <c r="H8" t="s">
        <v>22</v>
      </c>
      <c r="I8">
        <f>I7-3</f>
        <v>10</v>
      </c>
    </row>
    <row r="9" spans="1:9" x14ac:dyDescent="0.25">
      <c r="A9">
        <v>1.1200000000000001</v>
      </c>
      <c r="B9">
        <v>18.318000000000001</v>
      </c>
      <c r="C9">
        <f t="shared" si="2"/>
        <v>0.11332868530700327</v>
      </c>
      <c r="D9">
        <f t="shared" si="0"/>
        <v>2.907884182980796</v>
      </c>
      <c r="E9">
        <f t="shared" si="1"/>
        <v>4.8779868602086482</v>
      </c>
      <c r="F9">
        <f t="shared" si="3"/>
        <v>5.6744697027197759</v>
      </c>
      <c r="G9">
        <f t="shared" si="4"/>
        <v>-0.79648284251112766</v>
      </c>
      <c r="H9" t="s">
        <v>10</v>
      </c>
      <c r="I9">
        <f>_xlfn.VAR.S(G2:G101)</f>
        <v>0.10769280129460274</v>
      </c>
    </row>
    <row r="10" spans="1:9" x14ac:dyDescent="0.25">
      <c r="A10">
        <v>1.1299999999999999</v>
      </c>
      <c r="B10">
        <v>23.495999999999999</v>
      </c>
      <c r="C10">
        <f t="shared" si="2"/>
        <v>0.12221763272424911</v>
      </c>
      <c r="D10">
        <f t="shared" si="0"/>
        <v>3.1568301938963188</v>
      </c>
      <c r="E10">
        <f t="shared" si="1"/>
        <v>5.5546434552407717</v>
      </c>
      <c r="F10">
        <f t="shared" si="3"/>
        <v>5.7364770413279773</v>
      </c>
      <c r="G10">
        <f t="shared" si="4"/>
        <v>-0.18183358608720557</v>
      </c>
    </row>
    <row r="11" spans="1:9" x14ac:dyDescent="0.25">
      <c r="A11">
        <v>1.19</v>
      </c>
      <c r="B11">
        <v>27.896999999999998</v>
      </c>
      <c r="C11">
        <f t="shared" si="2"/>
        <v>0.17395330712343798</v>
      </c>
      <c r="D11">
        <f t="shared" si="0"/>
        <v>3.32851915616417</v>
      </c>
      <c r="E11">
        <f t="shared" si="1"/>
        <v>6.0547386546801345</v>
      </c>
      <c r="F11">
        <f t="shared" si="3"/>
        <v>6.1085210729771902</v>
      </c>
      <c r="G11">
        <f t="shared" si="4"/>
        <v>-5.3782418297055656E-2</v>
      </c>
      <c r="H11" t="s">
        <v>93</v>
      </c>
      <c r="I11">
        <f>CORREL(A2:A14,E2:E14)</f>
        <v>0.9906917666597308</v>
      </c>
    </row>
    <row r="12" spans="1:9" x14ac:dyDescent="0.25">
      <c r="A12">
        <v>1.25</v>
      </c>
      <c r="B12">
        <v>36.795999999999999</v>
      </c>
      <c r="C12">
        <f t="shared" si="2"/>
        <v>0.22314355131420976</v>
      </c>
      <c r="D12">
        <f t="shared" si="0"/>
        <v>3.6053891436149108</v>
      </c>
      <c r="E12">
        <f t="shared" si="1"/>
        <v>6.9232769264111509</v>
      </c>
      <c r="F12">
        <f t="shared" si="3"/>
        <v>6.480565104626403</v>
      </c>
      <c r="G12">
        <f t="shared" si="4"/>
        <v>0.44271182178474788</v>
      </c>
      <c r="H12" t="s">
        <v>94</v>
      </c>
      <c r="I12">
        <f>CORREL(C2:C14,D2:D14)</f>
        <v>0.99176067375686849</v>
      </c>
    </row>
    <row r="13" spans="1:9" x14ac:dyDescent="0.25">
      <c r="A13">
        <v>1.41</v>
      </c>
      <c r="B13">
        <v>44.610999999999997</v>
      </c>
      <c r="C13">
        <f t="shared" si="2"/>
        <v>0.34358970439007686</v>
      </c>
      <c r="D13">
        <f t="shared" si="0"/>
        <v>3.7979804653874703</v>
      </c>
      <c r="E13">
        <f t="shared" si="1"/>
        <v>7.575923827641617</v>
      </c>
      <c r="F13">
        <f t="shared" si="3"/>
        <v>7.4726825223576361</v>
      </c>
      <c r="G13">
        <f t="shared" si="4"/>
        <v>0.1032413052839809</v>
      </c>
    </row>
    <row r="14" spans="1:9" x14ac:dyDescent="0.25">
      <c r="A14">
        <v>1.5</v>
      </c>
      <c r="B14">
        <v>51.183</v>
      </c>
      <c r="C14">
        <f t="shared" si="2"/>
        <v>0.40546510810816438</v>
      </c>
      <c r="D14">
        <f t="shared" si="0"/>
        <v>3.9354074456608821</v>
      </c>
      <c r="E14">
        <f t="shared" si="1"/>
        <v>8.0676259239968449</v>
      </c>
      <c r="F14">
        <f t="shared" si="3"/>
        <v>8.0307485698314558</v>
      </c>
      <c r="G14">
        <f t="shared" si="4"/>
        <v>3.6877354165389065E-2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D25" sqref="D25"/>
    </sheetView>
  </sheetViews>
  <sheetFormatPr defaultRowHeight="15" x14ac:dyDescent="0.25"/>
  <sheetData>
    <row r="1" spans="1:5" x14ac:dyDescent="0.25">
      <c r="A1" t="s">
        <v>51</v>
      </c>
      <c r="B1" t="s">
        <v>52</v>
      </c>
      <c r="C1" t="s">
        <v>57</v>
      </c>
      <c r="D1" t="s">
        <v>53</v>
      </c>
      <c r="E1" t="s">
        <v>58</v>
      </c>
    </row>
    <row r="2" spans="1:5" x14ac:dyDescent="0.25">
      <c r="A2">
        <v>27</v>
      </c>
      <c r="B2">
        <v>0.9</v>
      </c>
      <c r="C2">
        <f>_xlfn.NORM.INV(B2/100,0,1)</f>
        <v>-2.365618126864292</v>
      </c>
      <c r="D2">
        <f>LN((B2/100)/(1-(B2/100)))</f>
        <v>-4.7014899569937683</v>
      </c>
      <c r="E2" t="s">
        <v>59</v>
      </c>
    </row>
    <row r="3" spans="1:5" x14ac:dyDescent="0.25">
      <c r="A3">
        <v>35</v>
      </c>
      <c r="B3">
        <v>6.42</v>
      </c>
      <c r="C3">
        <f t="shared" ref="C3:C24" si="0">_xlfn.NORM.INV(B3/100,0,1)</f>
        <v>-1.5204417030215289</v>
      </c>
      <c r="D3">
        <f t="shared" ref="D3:D24" si="1">LN((B3/100)/(1-(B3/100)))</f>
        <v>-2.6793985677362007</v>
      </c>
      <c r="E3" t="s">
        <v>60</v>
      </c>
    </row>
    <row r="4" spans="1:5" x14ac:dyDescent="0.25">
      <c r="A4">
        <v>38</v>
      </c>
      <c r="B4">
        <v>11.71</v>
      </c>
      <c r="C4">
        <f t="shared" si="0"/>
        <v>-1.1896092716788949</v>
      </c>
      <c r="D4">
        <f t="shared" si="1"/>
        <v>-2.0201836733038649</v>
      </c>
    </row>
    <row r="5" spans="1:5" x14ac:dyDescent="0.25">
      <c r="A5">
        <v>44</v>
      </c>
      <c r="B5">
        <v>27.45</v>
      </c>
      <c r="C5">
        <f t="shared" si="0"/>
        <v>-0.59925927613702712</v>
      </c>
      <c r="D5">
        <f t="shared" si="1"/>
        <v>-0.97190981137465748</v>
      </c>
    </row>
    <row r="6" spans="1:5" x14ac:dyDescent="0.25">
      <c r="A6">
        <v>45</v>
      </c>
      <c r="B6">
        <v>29.96</v>
      </c>
      <c r="C6">
        <f t="shared" si="0"/>
        <v>-0.52555130159154062</v>
      </c>
      <c r="D6">
        <f t="shared" si="1"/>
        <v>-0.84920334876863213</v>
      </c>
    </row>
    <row r="7" spans="1:5" x14ac:dyDescent="0.25">
      <c r="A7">
        <v>46</v>
      </c>
      <c r="B7">
        <v>34.299999999999997</v>
      </c>
      <c r="C7">
        <f t="shared" si="0"/>
        <v>-0.40428929029857891</v>
      </c>
      <c r="D7">
        <f t="shared" si="1"/>
        <v>-0.64995357131867071</v>
      </c>
    </row>
    <row r="8" spans="1:5" x14ac:dyDescent="0.25">
      <c r="A8">
        <v>49</v>
      </c>
      <c r="B8">
        <v>45.71</v>
      </c>
      <c r="C8">
        <f t="shared" si="0"/>
        <v>-0.10774244402266969</v>
      </c>
      <c r="D8">
        <f t="shared" si="1"/>
        <v>-0.17202295557370653</v>
      </c>
    </row>
    <row r="9" spans="1:5" x14ac:dyDescent="0.25">
      <c r="A9">
        <v>50</v>
      </c>
      <c r="B9">
        <v>49.86</v>
      </c>
      <c r="C9">
        <f t="shared" si="0"/>
        <v>-3.5092867873360934E-3</v>
      </c>
      <c r="D9">
        <f t="shared" si="1"/>
        <v>-5.6000146347357123E-3</v>
      </c>
    </row>
    <row r="10" spans="1:5" x14ac:dyDescent="0.25">
      <c r="A10">
        <v>52</v>
      </c>
      <c r="B10">
        <v>57.68</v>
      </c>
      <c r="C10">
        <f t="shared" si="0"/>
        <v>0.19371378172073259</v>
      </c>
      <c r="D10">
        <f t="shared" si="1"/>
        <v>0.30965070542664963</v>
      </c>
    </row>
    <row r="11" spans="1:5" x14ac:dyDescent="0.25">
      <c r="A11">
        <v>53</v>
      </c>
      <c r="B11">
        <v>62.92</v>
      </c>
      <c r="C11">
        <f t="shared" si="0"/>
        <v>0.32973527158829463</v>
      </c>
      <c r="D11">
        <f t="shared" si="1"/>
        <v>0.52878633749242254</v>
      </c>
    </row>
    <row r="12" spans="1:5" x14ac:dyDescent="0.25">
      <c r="A12">
        <v>54</v>
      </c>
      <c r="B12">
        <v>67.14</v>
      </c>
      <c r="C12">
        <f t="shared" si="0"/>
        <v>0.44378228136376724</v>
      </c>
      <c r="D12">
        <f t="shared" si="1"/>
        <v>0.71452387894276681</v>
      </c>
    </row>
    <row r="13" spans="1:5" x14ac:dyDescent="0.25">
      <c r="A13">
        <v>56</v>
      </c>
      <c r="B13">
        <v>74.12</v>
      </c>
      <c r="C13">
        <f t="shared" si="0"/>
        <v>0.64704935700878619</v>
      </c>
      <c r="D13">
        <f t="shared" si="1"/>
        <v>1.0522149317844596</v>
      </c>
    </row>
    <row r="14" spans="1:5" x14ac:dyDescent="0.25">
      <c r="A14">
        <v>57</v>
      </c>
      <c r="B14">
        <v>76.77</v>
      </c>
      <c r="C14">
        <f t="shared" si="0"/>
        <v>0.73129333606131108</v>
      </c>
      <c r="D14">
        <f t="shared" si="1"/>
        <v>1.195369392057489</v>
      </c>
    </row>
    <row r="15" spans="1:5" x14ac:dyDescent="0.25">
      <c r="A15">
        <v>58</v>
      </c>
      <c r="B15">
        <v>79.010000000000005</v>
      </c>
      <c r="C15">
        <f t="shared" si="0"/>
        <v>0.80676827529828377</v>
      </c>
      <c r="D15">
        <f t="shared" si="1"/>
        <v>1.3255282929021004</v>
      </c>
    </row>
    <row r="16" spans="1:5" x14ac:dyDescent="0.25">
      <c r="A16">
        <v>59</v>
      </c>
      <c r="B16">
        <v>83.53</v>
      </c>
      <c r="C16">
        <f t="shared" si="0"/>
        <v>0.97532313126796477</v>
      </c>
      <c r="D16">
        <f t="shared" si="1"/>
        <v>1.6236653045782663</v>
      </c>
    </row>
    <row r="17" spans="1:4" x14ac:dyDescent="0.25">
      <c r="A17">
        <v>60</v>
      </c>
      <c r="B17">
        <v>83.96</v>
      </c>
      <c r="C17">
        <f t="shared" si="0"/>
        <v>0.99281524335916826</v>
      </c>
      <c r="D17">
        <f t="shared" si="1"/>
        <v>1.6552548925140631</v>
      </c>
    </row>
    <row r="18" spans="1:4" x14ac:dyDescent="0.25">
      <c r="A18">
        <v>61</v>
      </c>
      <c r="B18">
        <v>87.95</v>
      </c>
      <c r="C18">
        <f t="shared" si="0"/>
        <v>1.1724909585990237</v>
      </c>
      <c r="D18">
        <f t="shared" si="1"/>
        <v>1.9877038112469037</v>
      </c>
    </row>
    <row r="19" spans="1:4" x14ac:dyDescent="0.25">
      <c r="A19">
        <v>62</v>
      </c>
      <c r="B19">
        <v>88.74</v>
      </c>
      <c r="C19">
        <f t="shared" si="0"/>
        <v>1.2128164622072639</v>
      </c>
      <c r="D19">
        <f t="shared" si="1"/>
        <v>2.0644541232392188</v>
      </c>
    </row>
    <row r="20" spans="1:4" x14ac:dyDescent="0.25">
      <c r="A20">
        <v>63</v>
      </c>
      <c r="B20">
        <v>91.13</v>
      </c>
      <c r="C20">
        <f t="shared" si="0"/>
        <v>1.3488037808146327</v>
      </c>
      <c r="D20">
        <f t="shared" si="1"/>
        <v>2.3296122621865472</v>
      </c>
    </row>
    <row r="21" spans="1:4" x14ac:dyDescent="0.25">
      <c r="A21">
        <v>64</v>
      </c>
      <c r="B21">
        <v>92.64</v>
      </c>
      <c r="C21">
        <f t="shared" si="0"/>
        <v>1.4494928344086748</v>
      </c>
      <c r="D21">
        <f t="shared" si="1"/>
        <v>2.5326610810839001</v>
      </c>
    </row>
    <row r="22" spans="1:4" x14ac:dyDescent="0.25">
      <c r="A22">
        <v>66</v>
      </c>
      <c r="B22">
        <v>95.49</v>
      </c>
      <c r="C22">
        <f t="shared" si="0"/>
        <v>1.6943436531256106</v>
      </c>
      <c r="D22">
        <f t="shared" si="1"/>
        <v>3.0527243764475234</v>
      </c>
    </row>
    <row r="23" spans="1:4" x14ac:dyDescent="0.25">
      <c r="A23">
        <v>68</v>
      </c>
      <c r="B23">
        <v>97</v>
      </c>
      <c r="C23">
        <f t="shared" si="0"/>
        <v>1.8807936081512504</v>
      </c>
      <c r="D23">
        <f t="shared" si="1"/>
        <v>3.4760986898352719</v>
      </c>
    </row>
    <row r="24" spans="1:4" x14ac:dyDescent="0.25">
      <c r="A24">
        <v>69</v>
      </c>
      <c r="B24">
        <v>97.15</v>
      </c>
      <c r="C24">
        <f t="shared" si="0"/>
        <v>1.9033108187089982</v>
      </c>
      <c r="D24">
        <f t="shared" si="1"/>
        <v>3.5289371815428909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B20" sqref="B20"/>
    </sheetView>
  </sheetViews>
  <sheetFormatPr defaultRowHeight="15" x14ac:dyDescent="0.25"/>
  <cols>
    <col min="8" max="8" width="12" bestFit="1" customWidth="1"/>
  </cols>
  <sheetData>
    <row r="1" spans="1:11" x14ac:dyDescent="0.25">
      <c r="A1" t="s">
        <v>90</v>
      </c>
      <c r="B1" t="s">
        <v>91</v>
      </c>
      <c r="C1" t="s">
        <v>3</v>
      </c>
      <c r="D1" t="s">
        <v>7</v>
      </c>
      <c r="E1" t="s">
        <v>15</v>
      </c>
      <c r="F1" t="s">
        <v>6</v>
      </c>
      <c r="G1" t="s">
        <v>2</v>
      </c>
      <c r="H1">
        <v>3.0777894421622674</v>
      </c>
      <c r="I1" t="s">
        <v>67</v>
      </c>
    </row>
    <row r="2" spans="1:11" x14ac:dyDescent="0.25">
      <c r="A2">
        <v>1</v>
      </c>
      <c r="B2">
        <v>0.46</v>
      </c>
      <c r="C2">
        <f t="shared" ref="C2:C15" si="0">LN(B2)</f>
        <v>-0.77652878949899629</v>
      </c>
      <c r="D2">
        <f t="shared" ref="D2:D15" si="1">IF(H$1=0,C2,(B2^H$1 -1)/H$1)</f>
        <v>-0.29513701642630591</v>
      </c>
      <c r="E2">
        <f>H$3+H$2*A2</f>
        <v>-0.28724856874866406</v>
      </c>
      <c r="F2">
        <f>D2-E2</f>
        <v>-7.8884476776418522E-3</v>
      </c>
      <c r="G2" t="s">
        <v>5</v>
      </c>
      <c r="H2">
        <f>SLOPE(D2:D15,A2:A15)</f>
        <v>1.0191974840456803E-2</v>
      </c>
    </row>
    <row r="3" spans="1:11" x14ac:dyDescent="0.25">
      <c r="A3">
        <v>2</v>
      </c>
      <c r="B3">
        <v>0.47</v>
      </c>
      <c r="C3">
        <f t="shared" si="0"/>
        <v>-0.75502258427803282</v>
      </c>
      <c r="D3">
        <f t="shared" si="1"/>
        <v>-0.29309971167745191</v>
      </c>
      <c r="E3">
        <f t="shared" ref="E3:E15" si="2">H$3+H$2*A3</f>
        <v>-0.27705659390820725</v>
      </c>
      <c r="F3">
        <f t="shared" ref="F3:F15" si="3">D3-E3</f>
        <v>-1.6043117769244664E-2</v>
      </c>
      <c r="G3" t="s">
        <v>4</v>
      </c>
      <c r="H3">
        <f>AVERAGE(D2:D15)-H2*AVERAGE(A2:A15)</f>
        <v>-0.29744054358912086</v>
      </c>
    </row>
    <row r="4" spans="1:11" x14ac:dyDescent="0.25">
      <c r="A4">
        <v>3</v>
      </c>
      <c r="B4">
        <v>0.56999999999999995</v>
      </c>
      <c r="C4">
        <f t="shared" si="0"/>
        <v>-0.56211891815354131</v>
      </c>
      <c r="D4">
        <f t="shared" si="1"/>
        <v>-0.2673121207699829</v>
      </c>
      <c r="E4">
        <f t="shared" si="2"/>
        <v>-0.26686461906775044</v>
      </c>
      <c r="F4">
        <f t="shared" si="3"/>
        <v>-4.4750170223245567E-4</v>
      </c>
      <c r="G4" t="s">
        <v>12</v>
      </c>
      <c r="H4">
        <f>-H8/2*LN(H9)+(H1-1)*(H8/H7)*SUM(C2:C15)</f>
        <v>35.947921640330811</v>
      </c>
      <c r="K4">
        <f>4+0.47*12</f>
        <v>9.64</v>
      </c>
    </row>
    <row r="5" spans="1:11" x14ac:dyDescent="0.25">
      <c r="A5">
        <v>4</v>
      </c>
      <c r="B5">
        <v>0.61</v>
      </c>
      <c r="C5">
        <f t="shared" si="0"/>
        <v>-0.49429632181478012</v>
      </c>
      <c r="D5">
        <f t="shared" si="1"/>
        <v>-0.25394231981064141</v>
      </c>
      <c r="E5">
        <f t="shared" si="2"/>
        <v>-0.25667264422729363</v>
      </c>
      <c r="F5">
        <f t="shared" si="3"/>
        <v>2.7303244166522189E-3</v>
      </c>
      <c r="G5" t="s">
        <v>13</v>
      </c>
      <c r="H5">
        <f>-H7/2*LN(H9)+(H1-1)*SUM(C2:C15)</f>
        <v>45.751900269511943</v>
      </c>
    </row>
    <row r="6" spans="1:11" x14ac:dyDescent="0.25">
      <c r="A6">
        <v>5</v>
      </c>
      <c r="B6">
        <v>0.62</v>
      </c>
      <c r="C6">
        <f t="shared" si="0"/>
        <v>-0.4780358009429998</v>
      </c>
      <c r="D6">
        <f t="shared" si="1"/>
        <v>-0.25030033895459652</v>
      </c>
      <c r="E6">
        <f t="shared" si="2"/>
        <v>-0.24648066938683685</v>
      </c>
      <c r="F6">
        <f t="shared" si="3"/>
        <v>-3.8196695677596704E-3</v>
      </c>
    </row>
    <row r="7" spans="1:11" x14ac:dyDescent="0.25">
      <c r="A7">
        <v>6</v>
      </c>
      <c r="B7">
        <v>0.68</v>
      </c>
      <c r="C7">
        <f t="shared" si="0"/>
        <v>-0.38566248081198462</v>
      </c>
      <c r="D7">
        <f t="shared" si="1"/>
        <v>-0.22576626057049942</v>
      </c>
      <c r="E7">
        <f t="shared" si="2"/>
        <v>-0.23628869454638005</v>
      </c>
      <c r="F7">
        <f t="shared" si="3"/>
        <v>1.0522433975880624E-2</v>
      </c>
      <c r="G7" t="s">
        <v>21</v>
      </c>
      <c r="H7">
        <v>14</v>
      </c>
    </row>
    <row r="8" spans="1:11" x14ac:dyDescent="0.25">
      <c r="A8">
        <v>7</v>
      </c>
      <c r="B8">
        <v>0.69</v>
      </c>
      <c r="C8">
        <f t="shared" si="0"/>
        <v>-0.37106368139083207</v>
      </c>
      <c r="D8">
        <f t="shared" si="1"/>
        <v>-0.22121000328183774</v>
      </c>
      <c r="E8">
        <f t="shared" si="2"/>
        <v>-0.22609671970592327</v>
      </c>
      <c r="F8">
        <f t="shared" si="3"/>
        <v>4.8867164240855299E-3</v>
      </c>
      <c r="G8" t="s">
        <v>22</v>
      </c>
      <c r="H8">
        <f>H7-3</f>
        <v>11</v>
      </c>
    </row>
    <row r="9" spans="1:11" x14ac:dyDescent="0.25">
      <c r="A9">
        <v>8</v>
      </c>
      <c r="B9">
        <v>0.78</v>
      </c>
      <c r="C9">
        <f t="shared" si="0"/>
        <v>-0.24846135929849961</v>
      </c>
      <c r="D9">
        <f t="shared" si="1"/>
        <v>-0.17367397169379539</v>
      </c>
      <c r="E9">
        <f t="shared" si="2"/>
        <v>-0.21590474486546646</v>
      </c>
      <c r="F9">
        <f t="shared" si="3"/>
        <v>4.2230773171671065E-2</v>
      </c>
      <c r="G9" t="s">
        <v>10</v>
      </c>
      <c r="H9">
        <f>_xlfn.VAR.S(F2:F15)</f>
        <v>2.6214483594701025E-4</v>
      </c>
    </row>
    <row r="10" spans="1:11" x14ac:dyDescent="0.25">
      <c r="A10">
        <v>9</v>
      </c>
      <c r="B10">
        <v>0.7</v>
      </c>
      <c r="C10">
        <f t="shared" si="0"/>
        <v>-0.35667494393873245</v>
      </c>
      <c r="D10">
        <f t="shared" si="1"/>
        <v>-0.21651445744108727</v>
      </c>
      <c r="E10">
        <f t="shared" si="2"/>
        <v>-0.20571277002500965</v>
      </c>
      <c r="F10">
        <f t="shared" si="3"/>
        <v>-1.0801687416077621E-2</v>
      </c>
    </row>
    <row r="11" spans="1:11" x14ac:dyDescent="0.25">
      <c r="A11">
        <v>10</v>
      </c>
      <c r="B11">
        <v>0.74</v>
      </c>
      <c r="C11">
        <f t="shared" si="0"/>
        <v>-0.30110509278392161</v>
      </c>
      <c r="D11">
        <f t="shared" si="1"/>
        <v>-0.19629581400804744</v>
      </c>
      <c r="E11">
        <f t="shared" si="2"/>
        <v>-0.19552079518455284</v>
      </c>
      <c r="F11">
        <f t="shared" si="3"/>
        <v>-7.7501882349459428E-4</v>
      </c>
      <c r="G11" t="s">
        <v>14</v>
      </c>
      <c r="H11">
        <f>CORREL(A2:A101,D2:D101)</f>
        <v>0.92395009855580057</v>
      </c>
    </row>
    <row r="12" spans="1:11" x14ac:dyDescent="0.25">
      <c r="A12">
        <v>11</v>
      </c>
      <c r="B12">
        <v>0.77</v>
      </c>
      <c r="C12">
        <f t="shared" si="0"/>
        <v>-0.26136476413440751</v>
      </c>
      <c r="D12">
        <f t="shared" si="1"/>
        <v>-0.17956239459467233</v>
      </c>
      <c r="E12">
        <f t="shared" si="2"/>
        <v>-0.18532882034409603</v>
      </c>
      <c r="F12">
        <f t="shared" si="3"/>
        <v>5.7664257494237092E-3</v>
      </c>
    </row>
    <row r="13" spans="1:11" x14ac:dyDescent="0.25">
      <c r="A13">
        <v>12</v>
      </c>
      <c r="B13">
        <v>0.78</v>
      </c>
      <c r="C13">
        <f t="shared" si="0"/>
        <v>-0.24846135929849961</v>
      </c>
      <c r="D13">
        <f t="shared" si="1"/>
        <v>-0.17367397169379539</v>
      </c>
      <c r="E13">
        <f t="shared" si="2"/>
        <v>-0.17513684550363923</v>
      </c>
      <c r="F13">
        <f t="shared" si="3"/>
        <v>1.4628738098438343E-3</v>
      </c>
    </row>
    <row r="14" spans="1:11" x14ac:dyDescent="0.25">
      <c r="A14">
        <v>13</v>
      </c>
      <c r="B14">
        <v>0.74</v>
      </c>
      <c r="C14">
        <f t="shared" si="0"/>
        <v>-0.30110509278392161</v>
      </c>
      <c r="D14">
        <f t="shared" si="1"/>
        <v>-0.19629581400804744</v>
      </c>
      <c r="E14">
        <f t="shared" si="2"/>
        <v>-0.16494487066318242</v>
      </c>
      <c r="F14">
        <f t="shared" si="3"/>
        <v>-3.1350943344865018E-2</v>
      </c>
    </row>
    <row r="15" spans="1:11" x14ac:dyDescent="0.25">
      <c r="A15">
        <v>13</v>
      </c>
      <c r="B15">
        <v>0.8</v>
      </c>
      <c r="C15">
        <f t="shared" si="0"/>
        <v>-0.22314355131420971</v>
      </c>
      <c r="D15">
        <f t="shared" si="1"/>
        <v>-0.16141803190942275</v>
      </c>
      <c r="E15">
        <f t="shared" si="2"/>
        <v>-0.16494487066318242</v>
      </c>
      <c r="F15">
        <f t="shared" si="3"/>
        <v>3.5268387537596702E-3</v>
      </c>
    </row>
    <row r="16" spans="1:11" x14ac:dyDescent="0.25">
      <c r="A16">
        <v>15</v>
      </c>
      <c r="B16">
        <v>0.8</v>
      </c>
      <c r="C16">
        <f t="shared" ref="C16:C17" si="4">LN(B16)</f>
        <v>-0.22314355131420971</v>
      </c>
      <c r="D16">
        <f t="shared" ref="D16:D17" si="5">IF(H$1=0,C16,(B16^H$1 -1)/H$1)</f>
        <v>-0.16141803190942275</v>
      </c>
      <c r="E16">
        <f t="shared" ref="E16:E17" si="6">H$3+H$2*A16</f>
        <v>-0.14456092098226883</v>
      </c>
      <c r="F16">
        <f t="shared" ref="F16:F17" si="7">D16-E16</f>
        <v>-1.6857110927153918E-2</v>
      </c>
    </row>
    <row r="17" spans="1:6" x14ac:dyDescent="0.25">
      <c r="A17">
        <v>16</v>
      </c>
      <c r="B17">
        <v>0.78</v>
      </c>
      <c r="C17">
        <f t="shared" si="4"/>
        <v>-0.24846135929849961</v>
      </c>
      <c r="D17">
        <f t="shared" si="5"/>
        <v>-0.17367397169379539</v>
      </c>
      <c r="E17">
        <f t="shared" si="6"/>
        <v>-0.13436894614181202</v>
      </c>
      <c r="F17">
        <f t="shared" si="7"/>
        <v>-3.9305025551983369E-2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F2" sqref="F2"/>
    </sheetView>
  </sheetViews>
  <sheetFormatPr defaultRowHeight="15" x14ac:dyDescent="0.25"/>
  <cols>
    <col min="7" max="7" width="12" bestFit="1" customWidth="1"/>
  </cols>
  <sheetData>
    <row r="1" spans="1:7" x14ac:dyDescent="0.25">
      <c r="A1" t="s">
        <v>92</v>
      </c>
      <c r="B1" t="s">
        <v>54</v>
      </c>
      <c r="C1" t="s">
        <v>3</v>
      </c>
      <c r="D1" t="s">
        <v>7</v>
      </c>
      <c r="E1" t="s">
        <v>2</v>
      </c>
      <c r="F1">
        <v>10.009755176478844</v>
      </c>
      <c r="G1" s="5" t="s">
        <v>56</v>
      </c>
    </row>
    <row r="2" spans="1:7" x14ac:dyDescent="0.25">
      <c r="A2">
        <v>1</v>
      </c>
      <c r="B2">
        <v>1.1881999999999999</v>
      </c>
      <c r="C2">
        <f t="shared" ref="C2:C20" si="0">LN(B2)</f>
        <v>0.17243955693950394</v>
      </c>
      <c r="D2">
        <f>IF(F$1=0,C2*F$2,(B2^F$1-1)/(F$1*F$2^(F$1-1)))</f>
        <v>7.9360266858997542E-3</v>
      </c>
      <c r="E2" t="s">
        <v>76</v>
      </c>
      <c r="F2">
        <f>GEOMEAN(B2:B20)</f>
        <v>1.5697887005762599</v>
      </c>
    </row>
    <row r="3" spans="1:7" x14ac:dyDescent="0.25">
      <c r="A3">
        <v>4</v>
      </c>
      <c r="B3">
        <v>1.2625</v>
      </c>
      <c r="C3">
        <f t="shared" si="0"/>
        <v>0.23309388216737781</v>
      </c>
      <c r="D3">
        <f>IF(F$1=0,C3*F$2,(B3^F$1-1)/(F$1*F$2^(F$1-1)))</f>
        <v>1.5998979957492849E-2</v>
      </c>
      <c r="E3" t="s">
        <v>23</v>
      </c>
      <c r="F3">
        <f>(CORREL(A2:A20,D2:D20))^2</f>
        <v>0.99995381096538238</v>
      </c>
    </row>
    <row r="4" spans="1:7" x14ac:dyDescent="0.25">
      <c r="A4">
        <v>9</v>
      </c>
      <c r="B4">
        <v>1.3506</v>
      </c>
      <c r="C4">
        <f t="shared" si="0"/>
        <v>0.30054893815860451</v>
      </c>
      <c r="D4">
        <f>IF(F$1=0,C4*F$2,(B4^F$1-1)/(F$1*F$2^(F$1-1)))</f>
        <v>3.3086267301179931E-2</v>
      </c>
    </row>
    <row r="5" spans="1:7" x14ac:dyDescent="0.25">
      <c r="A5">
        <v>17</v>
      </c>
      <c r="B5">
        <v>1.4348000000000001</v>
      </c>
      <c r="C5">
        <f t="shared" si="0"/>
        <v>0.3610254666759905</v>
      </c>
      <c r="D5">
        <f>IF(F$1=0,C5*F$2,(B5^F$1-1)/(F$1*F$2^(F$1-1)))</f>
        <v>6.2040274431251319E-2</v>
      </c>
    </row>
    <row r="6" spans="1:7" x14ac:dyDescent="0.25">
      <c r="A6">
        <v>25</v>
      </c>
      <c r="B6">
        <v>1.4897</v>
      </c>
      <c r="C6">
        <f t="shared" si="0"/>
        <v>0.39857475740341025</v>
      </c>
      <c r="D6">
        <f>IF(F$1=0,C6*F$2,(B6^F$1-1)/(F$1*F$2^(F$1-1)))</f>
        <v>9.1129613070414936E-2</v>
      </c>
    </row>
    <row r="7" spans="1:7" x14ac:dyDescent="0.25">
      <c r="A7">
        <v>33</v>
      </c>
      <c r="B7">
        <v>1.5286999999999999</v>
      </c>
      <c r="C7">
        <f t="shared" si="0"/>
        <v>0.42441770102485138</v>
      </c>
      <c r="D7">
        <f>IF(F$1=0,C7*F$2,(B7^F$1-1)/(F$1*F$2^(F$1-1)))</f>
        <v>0.11854028675376781</v>
      </c>
    </row>
    <row r="8" spans="1:7" x14ac:dyDescent="0.25">
      <c r="A8">
        <v>41</v>
      </c>
      <c r="B8">
        <v>1.5602</v>
      </c>
      <c r="C8">
        <f t="shared" si="0"/>
        <v>0.44481401817207572</v>
      </c>
      <c r="D8">
        <f>IF(F$1=0,C8*F$2,(B8^F$1-1)/(F$1*F$2^(F$1-1)))</f>
        <v>0.14577849291925415</v>
      </c>
    </row>
    <row r="9" spans="1:7" x14ac:dyDescent="0.25">
      <c r="A9">
        <v>49</v>
      </c>
      <c r="B9">
        <v>1.5857000000000001</v>
      </c>
      <c r="C9">
        <f t="shared" si="0"/>
        <v>0.46102595021338483</v>
      </c>
      <c r="D9">
        <f>IF(F$1=0,C9*F$2,(B9^F$1-1)/(F$1*F$2^(F$1-1)))</f>
        <v>0.17176544191089829</v>
      </c>
    </row>
    <row r="10" spans="1:7" x14ac:dyDescent="0.25">
      <c r="A10">
        <v>57</v>
      </c>
      <c r="B10">
        <v>1.6105</v>
      </c>
      <c r="C10">
        <f t="shared" si="0"/>
        <v>0.47654468978911652</v>
      </c>
      <c r="D10">
        <f>IF(F$1=0,C10*F$2,(B10^F$1-1)/(F$1*F$2^(F$1-1)))</f>
        <v>0.20092000885471364</v>
      </c>
    </row>
    <row r="11" spans="1:7" x14ac:dyDescent="0.25">
      <c r="A11">
        <v>65</v>
      </c>
      <c r="B11">
        <v>1.6305000000000001</v>
      </c>
      <c r="C11">
        <f t="shared" si="0"/>
        <v>0.48888671624723679</v>
      </c>
      <c r="D11">
        <f>IF(F$1=0,C11*F$2,(B11^F$1-1)/(F$1*F$2^(F$1-1)))</f>
        <v>0.22756613680525295</v>
      </c>
    </row>
    <row r="12" spans="1:7" x14ac:dyDescent="0.25">
      <c r="A12">
        <v>73</v>
      </c>
      <c r="B12">
        <v>1.6496999999999999</v>
      </c>
      <c r="C12">
        <f t="shared" si="0"/>
        <v>0.50059345319974158</v>
      </c>
      <c r="D12">
        <f>IF(F$1=0,C12*F$2,(B12^F$1-1)/(F$1*F$2^(F$1-1)))</f>
        <v>0.25607159138945973</v>
      </c>
    </row>
    <row r="13" spans="1:7" x14ac:dyDescent="0.25">
      <c r="A13">
        <v>81</v>
      </c>
      <c r="B13">
        <v>1.6654</v>
      </c>
      <c r="C13">
        <f t="shared" si="0"/>
        <v>0.51006533481958194</v>
      </c>
      <c r="D13">
        <f>IF(F$1=0,C13*F$2,(B13^F$1-1)/(F$1*F$2^(F$1-1)))</f>
        <v>0.28170912378024388</v>
      </c>
    </row>
    <row r="14" spans="1:7" x14ac:dyDescent="0.25">
      <c r="A14">
        <v>89</v>
      </c>
      <c r="B14">
        <v>1.6816</v>
      </c>
      <c r="C14">
        <f t="shared" si="0"/>
        <v>0.51974572114054962</v>
      </c>
      <c r="D14">
        <f>IF(F$1=0,C14*F$2,(B14^F$1-1)/(F$1*F$2^(F$1-1)))</f>
        <v>0.31054738562664924</v>
      </c>
    </row>
    <row r="15" spans="1:7" x14ac:dyDescent="0.25">
      <c r="A15">
        <v>97</v>
      </c>
      <c r="B15">
        <v>1.6953</v>
      </c>
      <c r="C15">
        <f t="shared" si="0"/>
        <v>0.52785971632177031</v>
      </c>
      <c r="D15">
        <f>IF(F$1=0,C15*F$2,(B15^F$1-1)/(F$1*F$2^(F$1-1)))</f>
        <v>0.33696772001379427</v>
      </c>
    </row>
    <row r="16" spans="1:7" x14ac:dyDescent="0.25">
      <c r="A16">
        <v>105</v>
      </c>
      <c r="B16">
        <v>1.7094</v>
      </c>
      <c r="C16">
        <f t="shared" si="0"/>
        <v>0.5361424317497806</v>
      </c>
      <c r="D16">
        <f>IF(F$1=0,C16*F$2,(B16^F$1-1)/(F$1*F$2^(F$1-1)))</f>
        <v>0.3662443482659461</v>
      </c>
    </row>
    <row r="17" spans="1:4" x14ac:dyDescent="0.25">
      <c r="A17">
        <v>113</v>
      </c>
      <c r="B17">
        <v>1.7214</v>
      </c>
      <c r="C17">
        <f t="shared" si="0"/>
        <v>0.54313791323323712</v>
      </c>
      <c r="D17">
        <f>IF(F$1=0,C17*F$2,(B17^F$1-1)/(F$1*F$2^(F$1-1)))</f>
        <v>0.39293374898348993</v>
      </c>
    </row>
    <row r="18" spans="1:4" x14ac:dyDescent="0.25">
      <c r="A18">
        <v>121</v>
      </c>
      <c r="B18">
        <v>1.7335</v>
      </c>
      <c r="C18">
        <f t="shared" si="0"/>
        <v>0.55014248614294115</v>
      </c>
      <c r="D18">
        <f>IF(F$1=0,C18*F$2,(B18^F$1-1)/(F$1*F$2^(F$1-1)))</f>
        <v>0.42159753084625096</v>
      </c>
    </row>
    <row r="19" spans="1:4" x14ac:dyDescent="0.25">
      <c r="A19">
        <v>129</v>
      </c>
      <c r="B19">
        <v>1.7439</v>
      </c>
      <c r="C19">
        <f t="shared" si="0"/>
        <v>0.55612398439327748</v>
      </c>
      <c r="D19">
        <f>IF(F$1=0,C19*F$2,(B19^F$1-1)/(F$1*F$2^(F$1-1)))</f>
        <v>0.44771698682892586</v>
      </c>
    </row>
    <row r="20" spans="1:4" x14ac:dyDescent="0.25">
      <c r="A20">
        <v>137</v>
      </c>
      <c r="B20">
        <v>1.7554000000000001</v>
      </c>
      <c r="C20">
        <f t="shared" si="0"/>
        <v>0.56269675117588025</v>
      </c>
      <c r="D20">
        <f>IF(F$1=0,C20*F$2,(B20^F$1-1)/(F$1*F$2^(F$1-1)))</f>
        <v>0.47828052730755061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2" sqref="D2"/>
    </sheetView>
  </sheetViews>
  <sheetFormatPr defaultRowHeight="15" x14ac:dyDescent="0.25"/>
  <cols>
    <col min="10" max="10" width="12" bestFit="1" customWidth="1"/>
  </cols>
  <sheetData>
    <row r="1" spans="1:10" x14ac:dyDescent="0.25">
      <c r="A1" t="s">
        <v>92</v>
      </c>
      <c r="B1" t="s">
        <v>54</v>
      </c>
      <c r="C1" t="s">
        <v>3</v>
      </c>
      <c r="D1" t="s">
        <v>7</v>
      </c>
      <c r="E1" t="s">
        <v>15</v>
      </c>
      <c r="F1" t="s">
        <v>8</v>
      </c>
      <c r="G1" t="s">
        <v>24</v>
      </c>
      <c r="H1" t="s">
        <v>2</v>
      </c>
      <c r="I1">
        <v>10.008823737179091</v>
      </c>
      <c r="J1" s="5" t="s">
        <v>56</v>
      </c>
    </row>
    <row r="2" spans="1:10" x14ac:dyDescent="0.25">
      <c r="A2">
        <v>1</v>
      </c>
      <c r="B2">
        <v>1.1881999999999999</v>
      </c>
      <c r="C2">
        <f t="shared" ref="C2:C20" si="0">LN(B2)</f>
        <v>0.17243955693950394</v>
      </c>
      <c r="D2">
        <f>IF(I$1=0,C2*I$5,(B2^I$1-1)/(I$1*I$5^(I$1-1)))</f>
        <v>7.9385482428772376E-3</v>
      </c>
      <c r="E2">
        <f>I$2+I$3*A2</f>
        <v>6.9005057257615528E-3</v>
      </c>
      <c r="F2">
        <f t="shared" ref="F2:F20" si="1">(I$1*E2+1)^(1/I$1)</f>
        <v>1.0066949558332976</v>
      </c>
      <c r="G2">
        <f>(D2-E2)^2</f>
        <v>1.0775322673398668E-6</v>
      </c>
      <c r="H2" t="s">
        <v>4</v>
      </c>
      <c r="I2">
        <f>AVERAGE(D2:D20)-I3*AVERAGE(A2:A20)</f>
        <v>3.4483006578245046E-3</v>
      </c>
    </row>
    <row r="3" spans="1:10" x14ac:dyDescent="0.25">
      <c r="A3">
        <v>4</v>
      </c>
      <c r="B3">
        <v>1.2625</v>
      </c>
      <c r="C3">
        <f t="shared" si="0"/>
        <v>0.23309388216737781</v>
      </c>
      <c r="D3">
        <f t="shared" ref="D3:D20" si="2">IF(I$1=0,C3*I$5,(B3^I$1-1)/(I$1*I$5^(I$1-1)))</f>
        <v>1.6003342645695293E-2</v>
      </c>
      <c r="E3">
        <f t="shared" ref="E3:E20" si="3">I$2+I$3*A3</f>
        <v>1.7257120929572697E-2</v>
      </c>
      <c r="F3">
        <f t="shared" si="1"/>
        <v>1.0160462138763979</v>
      </c>
      <c r="G3">
        <f t="shared" ref="G3:G20" si="4">(D3-E3)^2</f>
        <v>1.5719599851225701E-6</v>
      </c>
      <c r="H3" t="s">
        <v>5</v>
      </c>
      <c r="I3">
        <f>SLOPE(D2:D20,A2:A20)</f>
        <v>3.4522050679370482E-3</v>
      </c>
    </row>
    <row r="4" spans="1:10" x14ac:dyDescent="0.25">
      <c r="A4">
        <v>9</v>
      </c>
      <c r="B4">
        <v>1.3506</v>
      </c>
      <c r="C4">
        <f t="shared" si="0"/>
        <v>0.30054893815860451</v>
      </c>
      <c r="D4">
        <f t="shared" si="2"/>
        <v>3.3093500684324144E-2</v>
      </c>
      <c r="E4">
        <f t="shared" si="3"/>
        <v>3.4518146269257935E-2</v>
      </c>
      <c r="F4">
        <f t="shared" si="1"/>
        <v>1.0300932888975869</v>
      </c>
      <c r="G4">
        <f t="shared" si="4"/>
        <v>2.0296150426713436E-6</v>
      </c>
      <c r="H4" t="s">
        <v>25</v>
      </c>
      <c r="I4">
        <f>SUM(G2:G20)</f>
        <v>1.9273556255736368E-5</v>
      </c>
    </row>
    <row r="5" spans="1:10" x14ac:dyDescent="0.25">
      <c r="A5">
        <v>17</v>
      </c>
      <c r="B5">
        <v>1.4348000000000001</v>
      </c>
      <c r="C5">
        <f t="shared" si="0"/>
        <v>0.3610254666759905</v>
      </c>
      <c r="D5">
        <f t="shared" si="2"/>
        <v>6.2050666627920276E-2</v>
      </c>
      <c r="E5">
        <f t="shared" si="3"/>
        <v>6.2135786812754321E-2</v>
      </c>
      <c r="F5">
        <f t="shared" si="1"/>
        <v>1.0495038980159297</v>
      </c>
      <c r="G5">
        <f t="shared" si="4"/>
        <v>7.2454458661819726E-9</v>
      </c>
      <c r="H5" t="s">
        <v>76</v>
      </c>
      <c r="I5">
        <f>GEOMEAN(B2:B20)</f>
        <v>1.5697887005762599</v>
      </c>
    </row>
    <row r="6" spans="1:10" x14ac:dyDescent="0.25">
      <c r="A6">
        <v>25</v>
      </c>
      <c r="B6">
        <v>1.4897</v>
      </c>
      <c r="C6">
        <f t="shared" si="0"/>
        <v>0.39857475740341025</v>
      </c>
      <c r="D6">
        <f t="shared" si="2"/>
        <v>9.1141901098329633E-2</v>
      </c>
      <c r="E6">
        <f t="shared" si="3"/>
        <v>8.9753427356250706E-2</v>
      </c>
      <c r="F6">
        <f t="shared" si="1"/>
        <v>1.0661358418275078</v>
      </c>
      <c r="G6">
        <f t="shared" si="4"/>
        <v>1.9278593324426595E-6</v>
      </c>
      <c r="H6" t="s">
        <v>14</v>
      </c>
      <c r="I6">
        <f>CORREL(A2:A20,D2:D20)</f>
        <v>0.99997690469522316</v>
      </c>
    </row>
    <row r="7" spans="1:10" x14ac:dyDescent="0.25">
      <c r="A7">
        <v>33</v>
      </c>
      <c r="B7">
        <v>1.5286999999999999</v>
      </c>
      <c r="C7">
        <f t="shared" si="0"/>
        <v>0.42441770102485138</v>
      </c>
      <c r="D7">
        <f t="shared" si="2"/>
        <v>0.11855356767287056</v>
      </c>
      <c r="E7">
        <f t="shared" si="3"/>
        <v>0.11737106789974709</v>
      </c>
      <c r="F7">
        <f t="shared" si="1"/>
        <v>1.0807148394524226</v>
      </c>
      <c r="G7">
        <f t="shared" si="4"/>
        <v>1.3983057134370617E-6</v>
      </c>
    </row>
    <row r="8" spans="1:10" x14ac:dyDescent="0.25">
      <c r="A8">
        <v>41</v>
      </c>
      <c r="B8">
        <v>1.5602</v>
      </c>
      <c r="C8">
        <f t="shared" si="0"/>
        <v>0.44481401817207572</v>
      </c>
      <c r="D8">
        <f t="shared" si="2"/>
        <v>0.14579217922536597</v>
      </c>
      <c r="E8">
        <f t="shared" si="3"/>
        <v>0.14498870844324349</v>
      </c>
      <c r="F8">
        <f t="shared" si="1"/>
        <v>1.0937119392353361</v>
      </c>
      <c r="G8">
        <f t="shared" si="4"/>
        <v>6.4556529772450721E-7</v>
      </c>
    </row>
    <row r="9" spans="1:10" x14ac:dyDescent="0.25">
      <c r="A9">
        <v>49</v>
      </c>
      <c r="B9">
        <v>1.5857000000000001</v>
      </c>
      <c r="C9">
        <f t="shared" si="0"/>
        <v>0.46102595021338483</v>
      </c>
      <c r="D9">
        <f t="shared" si="2"/>
        <v>0.17177907501173398</v>
      </c>
      <c r="E9">
        <f t="shared" si="3"/>
        <v>0.17260634898673988</v>
      </c>
      <c r="F9">
        <f t="shared" si="1"/>
        <v>1.1054508438328661</v>
      </c>
      <c r="G9">
        <f t="shared" si="4"/>
        <v>6.8438222972206052E-7</v>
      </c>
    </row>
    <row r="10" spans="1:10" x14ac:dyDescent="0.25">
      <c r="A10">
        <v>57</v>
      </c>
      <c r="B10">
        <v>1.6105</v>
      </c>
      <c r="C10">
        <f t="shared" si="0"/>
        <v>0.47654468978911652</v>
      </c>
      <c r="D10">
        <f t="shared" si="2"/>
        <v>0.20093315193234529</v>
      </c>
      <c r="E10">
        <f t="shared" si="3"/>
        <v>0.20022398953023626</v>
      </c>
      <c r="F10">
        <f t="shared" si="1"/>
        <v>1.1161639065827169</v>
      </c>
      <c r="G10">
        <f t="shared" si="4"/>
        <v>5.0291131256504376E-7</v>
      </c>
    </row>
    <row r="11" spans="1:10" x14ac:dyDescent="0.25">
      <c r="A11">
        <v>65</v>
      </c>
      <c r="B11">
        <v>1.6305000000000001</v>
      </c>
      <c r="C11">
        <f t="shared" si="0"/>
        <v>0.48888671624723679</v>
      </c>
      <c r="D11">
        <f t="shared" si="2"/>
        <v>0.2275784881183073</v>
      </c>
      <c r="E11">
        <f t="shared" si="3"/>
        <v>0.22784163007373265</v>
      </c>
      <c r="F11">
        <f t="shared" si="1"/>
        <v>1.1260237476394925</v>
      </c>
      <c r="G11">
        <f t="shared" si="4"/>
        <v>6.9243688705073972E-8</v>
      </c>
    </row>
    <row r="12" spans="1:10" x14ac:dyDescent="0.25">
      <c r="A12">
        <v>73</v>
      </c>
      <c r="B12">
        <v>1.6496999999999999</v>
      </c>
      <c r="C12">
        <f t="shared" si="0"/>
        <v>0.50059345319974158</v>
      </c>
      <c r="D12">
        <f t="shared" si="2"/>
        <v>0.25608277677867863</v>
      </c>
      <c r="E12">
        <f t="shared" si="3"/>
        <v>0.25545927061722906</v>
      </c>
      <c r="F12">
        <f t="shared" si="1"/>
        <v>1.1351622350533914</v>
      </c>
      <c r="G12">
        <f t="shared" si="4"/>
        <v>3.8875993336557954E-7</v>
      </c>
    </row>
    <row r="13" spans="1:10" x14ac:dyDescent="0.25">
      <c r="A13">
        <v>81</v>
      </c>
      <c r="B13">
        <v>1.6654</v>
      </c>
      <c r="C13">
        <f t="shared" si="0"/>
        <v>0.51006533481958194</v>
      </c>
      <c r="D13">
        <f t="shared" si="2"/>
        <v>0.28171900863204968</v>
      </c>
      <c r="E13">
        <f t="shared" si="3"/>
        <v>0.28307691116072542</v>
      </c>
      <c r="F13">
        <f t="shared" si="1"/>
        <v>1.1436824551428779</v>
      </c>
      <c r="G13">
        <f t="shared" si="4"/>
        <v>1.8438992773839586E-6</v>
      </c>
    </row>
    <row r="14" spans="1:10" x14ac:dyDescent="0.25">
      <c r="A14">
        <v>89</v>
      </c>
      <c r="B14">
        <v>1.6816</v>
      </c>
      <c r="C14">
        <f t="shared" si="0"/>
        <v>0.51974572114054962</v>
      </c>
      <c r="D14">
        <f t="shared" si="2"/>
        <v>0.31055555027421056</v>
      </c>
      <c r="E14">
        <f t="shared" si="3"/>
        <v>0.31069455170422178</v>
      </c>
      <c r="F14">
        <f t="shared" si="1"/>
        <v>1.1516665727690061</v>
      </c>
      <c r="G14">
        <f t="shared" si="4"/>
        <v>1.932139754516431E-8</v>
      </c>
    </row>
    <row r="15" spans="1:10" x14ac:dyDescent="0.25">
      <c r="A15">
        <v>97</v>
      </c>
      <c r="B15">
        <v>1.6953</v>
      </c>
      <c r="C15">
        <f t="shared" si="0"/>
        <v>0.52785971632177031</v>
      </c>
      <c r="D15">
        <f t="shared" si="2"/>
        <v>0.33697409032214315</v>
      </c>
      <c r="E15">
        <f t="shared" si="3"/>
        <v>0.33831219224771814</v>
      </c>
      <c r="F15">
        <f t="shared" si="1"/>
        <v>1.1591811700836541</v>
      </c>
      <c r="G15">
        <f t="shared" si="4"/>
        <v>1.7905167632274853E-6</v>
      </c>
    </row>
    <row r="16" spans="1:10" x14ac:dyDescent="0.25">
      <c r="A16">
        <v>105</v>
      </c>
      <c r="B16">
        <v>1.7094</v>
      </c>
      <c r="C16">
        <f t="shared" si="0"/>
        <v>0.5361424317497806</v>
      </c>
      <c r="D16">
        <f t="shared" si="2"/>
        <v>0.36624850663852981</v>
      </c>
      <c r="E16">
        <f t="shared" si="3"/>
        <v>0.3659298327912146</v>
      </c>
      <c r="F16">
        <f t="shared" si="1"/>
        <v>1.1662809781857595</v>
      </c>
      <c r="G16">
        <f t="shared" si="4"/>
        <v>1.0155302096267748E-7</v>
      </c>
    </row>
    <row r="17" spans="1:7" x14ac:dyDescent="0.25">
      <c r="A17">
        <v>113</v>
      </c>
      <c r="B17">
        <v>1.7214</v>
      </c>
      <c r="C17">
        <f t="shared" si="0"/>
        <v>0.54313791323323712</v>
      </c>
      <c r="D17">
        <f t="shared" si="2"/>
        <v>0.39293570141109879</v>
      </c>
      <c r="E17">
        <f t="shared" si="3"/>
        <v>0.39354747333471096</v>
      </c>
      <c r="F17">
        <f t="shared" si="1"/>
        <v>1.1730115506400132</v>
      </c>
      <c r="G17">
        <f t="shared" si="4"/>
        <v>3.7426488652013467E-7</v>
      </c>
    </row>
    <row r="18" spans="1:7" x14ac:dyDescent="0.25">
      <c r="A18">
        <v>121</v>
      </c>
      <c r="B18">
        <v>1.7335</v>
      </c>
      <c r="C18">
        <f t="shared" si="0"/>
        <v>0.55014248614294115</v>
      </c>
      <c r="D18">
        <f t="shared" si="2"/>
        <v>0.42159692726388726</v>
      </c>
      <c r="E18">
        <f t="shared" si="3"/>
        <v>0.42116511387820732</v>
      </c>
      <c r="F18">
        <f t="shared" si="1"/>
        <v>1.1794112204627867</v>
      </c>
      <c r="G18">
        <f t="shared" si="4"/>
        <v>1.8646280005236877E-7</v>
      </c>
    </row>
    <row r="19" spans="1:7" x14ac:dyDescent="0.25">
      <c r="A19">
        <v>129</v>
      </c>
      <c r="B19">
        <v>1.7439</v>
      </c>
      <c r="C19">
        <f t="shared" si="0"/>
        <v>0.55612398439327748</v>
      </c>
      <c r="D19">
        <f t="shared" si="2"/>
        <v>0.44771389643657028</v>
      </c>
      <c r="E19">
        <f t="shared" si="3"/>
        <v>0.44878275442170368</v>
      </c>
      <c r="F19">
        <f t="shared" si="1"/>
        <v>1.1855125598672815</v>
      </c>
      <c r="G19">
        <f t="shared" si="4"/>
        <v>1.1424573923834271E-6</v>
      </c>
    </row>
    <row r="20" spans="1:7" x14ac:dyDescent="0.25">
      <c r="A20">
        <v>137</v>
      </c>
      <c r="B20">
        <v>1.7554000000000001</v>
      </c>
      <c r="C20">
        <f t="shared" si="0"/>
        <v>0.56269675117588025</v>
      </c>
      <c r="D20">
        <f t="shared" si="2"/>
        <v>0.47827434813129027</v>
      </c>
      <c r="E20">
        <f t="shared" si="3"/>
        <v>0.47640039496520015</v>
      </c>
      <c r="F20">
        <f t="shared" si="1"/>
        <v>1.1913434874255351</v>
      </c>
      <c r="G20">
        <f t="shared" si="4"/>
        <v>3.5117004686992051E-6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K3" sqref="K3"/>
    </sheetView>
  </sheetViews>
  <sheetFormatPr defaultRowHeight="15" x14ac:dyDescent="0.25"/>
  <cols>
    <col min="7" max="8" width="12" bestFit="1" customWidth="1"/>
    <col min="11" max="11" width="12.7109375" bestFit="1" customWidth="1"/>
  </cols>
  <sheetData>
    <row r="1" spans="1:10" x14ac:dyDescent="0.25">
      <c r="A1" t="s">
        <v>0</v>
      </c>
      <c r="B1" t="s">
        <v>1</v>
      </c>
      <c r="C1" t="s">
        <v>3</v>
      </c>
      <c r="D1" t="s">
        <v>7</v>
      </c>
      <c r="E1" t="s">
        <v>15</v>
      </c>
      <c r="F1" t="s">
        <v>8</v>
      </c>
      <c r="G1" t="s">
        <v>6</v>
      </c>
      <c r="H1" t="s">
        <v>9</v>
      </c>
      <c r="I1" t="s">
        <v>2</v>
      </c>
      <c r="J1">
        <v>10.008823726400138</v>
      </c>
    </row>
    <row r="2" spans="1:10" x14ac:dyDescent="0.25">
      <c r="A2">
        <v>1</v>
      </c>
      <c r="B2">
        <v>1.1881999999999999</v>
      </c>
      <c r="C2">
        <f t="shared" ref="C2:C20" si="0">LN(B2)</f>
        <v>0.17243955693950394</v>
      </c>
      <c r="D2">
        <f>IF(J$1=0,C2,(B2^J$1-1)/(J$1*J$6^(J$1-1)))</f>
        <v>7.9385482720623277E-3</v>
      </c>
      <c r="E2">
        <f>J$2+J$3*A2</f>
        <v>6.9005058664631507E-3</v>
      </c>
      <c r="F2">
        <f>(J$1*E2+1)^(1/J$1)</f>
        <v>1.0066949559660268</v>
      </c>
      <c r="G2">
        <f>D2-E2</f>
        <v>1.0380424055991769E-3</v>
      </c>
      <c r="H2">
        <f t="shared" ref="H2:H20" si="1">LN(_xlfn.NORM.DIST(G2,0,J$5,FALSE))</f>
        <v>5.4514701304733943</v>
      </c>
      <c r="I2" t="s">
        <v>4</v>
      </c>
      <c r="J2">
        <f>AVERAGE(D2:D20)-J3*AVERAGE(A2:A20)</f>
        <v>3.4483007994338954E-3</v>
      </c>
    </row>
    <row r="3" spans="1:10" x14ac:dyDescent="0.25">
      <c r="A3">
        <v>4</v>
      </c>
      <c r="B3">
        <v>1.2625</v>
      </c>
      <c r="C3">
        <f t="shared" si="0"/>
        <v>0.23309388216737781</v>
      </c>
      <c r="D3">
        <f t="shared" ref="D3:D20" si="2">IF(J$1=0,C3,(B3^J$1-1)/(J$1*J$6^(J$1-1)))</f>
        <v>1.6003342696189062E-2</v>
      </c>
      <c r="E3">
        <f t="shared" ref="E3:E20" si="3">J$2+J$3*A3</f>
        <v>1.7257121067550917E-2</v>
      </c>
      <c r="F3">
        <f t="shared" ref="F3:F20" si="4">(J$1*E3+1)^(1/J$1)</f>
        <v>1.0160462139972588</v>
      </c>
      <c r="G3">
        <f t="shared" ref="G3:G20" si="5">D3-E3</f>
        <v>-1.253778371361855E-3</v>
      </c>
      <c r="H3">
        <f t="shared" si="1"/>
        <v>5.2205914353841187</v>
      </c>
      <c r="I3" t="s">
        <v>5</v>
      </c>
      <c r="J3">
        <f>SLOPE(D2:D20,A2:A20)</f>
        <v>3.4522050670292548E-3</v>
      </c>
    </row>
    <row r="4" spans="1:10" x14ac:dyDescent="0.25">
      <c r="A4">
        <v>9</v>
      </c>
      <c r="B4">
        <v>1.3506</v>
      </c>
      <c r="C4">
        <f t="shared" si="0"/>
        <v>0.30054893815860451</v>
      </c>
      <c r="D4">
        <f t="shared" si="2"/>
        <v>3.3093500768041462E-2</v>
      </c>
      <c r="E4">
        <f t="shared" si="3"/>
        <v>3.4518146402697188E-2</v>
      </c>
      <c r="F4">
        <f t="shared" si="4"/>
        <v>1.0300932890041783</v>
      </c>
      <c r="G4">
        <f t="shared" si="5"/>
        <v>-1.424645634655726E-3</v>
      </c>
      <c r="H4">
        <f t="shared" si="1"/>
        <v>5.0068843870331543</v>
      </c>
      <c r="I4" t="s">
        <v>9</v>
      </c>
      <c r="J4">
        <f>SUM(H2:H20)</f>
        <v>104.13807673471548</v>
      </c>
    </row>
    <row r="5" spans="1:10" x14ac:dyDescent="0.25">
      <c r="A5">
        <v>17</v>
      </c>
      <c r="B5">
        <v>1.4348000000000001</v>
      </c>
      <c r="C5">
        <f t="shared" si="0"/>
        <v>0.3610254666759905</v>
      </c>
      <c r="D5">
        <f t="shared" si="2"/>
        <v>6.2050666748194559E-2</v>
      </c>
      <c r="E5">
        <f t="shared" si="3"/>
        <v>6.213578693893123E-2</v>
      </c>
      <c r="F5">
        <f t="shared" si="4"/>
        <v>1.0495038981088871</v>
      </c>
      <c r="G5">
        <f t="shared" si="5"/>
        <v>-8.5120190736670542E-5</v>
      </c>
      <c r="H5">
        <f t="shared" si="1"/>
        <v>5.9512522761629461</v>
      </c>
      <c r="I5" t="s">
        <v>11</v>
      </c>
      <c r="J5">
        <f>_xlfn.STDEV.S(G2:G20)</f>
        <v>1.0347720161072358E-3</v>
      </c>
    </row>
    <row r="6" spans="1:10" x14ac:dyDescent="0.25">
      <c r="A6">
        <v>25</v>
      </c>
      <c r="B6">
        <v>1.4897</v>
      </c>
      <c r="C6">
        <f t="shared" si="0"/>
        <v>0.39857475740341025</v>
      </c>
      <c r="D6">
        <f t="shared" si="2"/>
        <v>9.1141901240543888E-2</v>
      </c>
      <c r="E6">
        <f t="shared" si="3"/>
        <v>8.9753427475165265E-2</v>
      </c>
      <c r="F6">
        <f t="shared" si="4"/>
        <v>1.0661358419135363</v>
      </c>
      <c r="G6">
        <f t="shared" si="5"/>
        <v>1.3884737653786228E-3</v>
      </c>
      <c r="H6">
        <f t="shared" si="1"/>
        <v>5.0544003759165141</v>
      </c>
      <c r="I6" t="s">
        <v>76</v>
      </c>
      <c r="J6">
        <f>GEOMEAN(B2:B20)</f>
        <v>1.5697887005762599</v>
      </c>
    </row>
    <row r="7" spans="1:10" x14ac:dyDescent="0.25">
      <c r="A7">
        <v>33</v>
      </c>
      <c r="B7">
        <v>1.5286999999999999</v>
      </c>
      <c r="C7">
        <f t="shared" si="0"/>
        <v>0.42441770102485138</v>
      </c>
      <c r="D7">
        <f t="shared" si="2"/>
        <v>0.11855356782657518</v>
      </c>
      <c r="E7">
        <f t="shared" si="3"/>
        <v>0.11737106801139931</v>
      </c>
      <c r="F7">
        <f t="shared" si="4"/>
        <v>1.0807148395354356</v>
      </c>
      <c r="G7">
        <f t="shared" si="5"/>
        <v>1.1824998151758748E-3</v>
      </c>
      <c r="H7">
        <f t="shared" si="1"/>
        <v>5.3016812718261708</v>
      </c>
      <c r="I7" t="s">
        <v>14</v>
      </c>
      <c r="J7">
        <f>CORREL(A2:A101,D2:D101)</f>
        <v>0.99997690469521083</v>
      </c>
    </row>
    <row r="8" spans="1:10" x14ac:dyDescent="0.25">
      <c r="A8">
        <v>41</v>
      </c>
      <c r="B8">
        <v>1.5602</v>
      </c>
      <c r="C8">
        <f t="shared" si="0"/>
        <v>0.44481401817207572</v>
      </c>
      <c r="D8">
        <f t="shared" si="2"/>
        <v>0.14579217938376179</v>
      </c>
      <c r="E8">
        <f t="shared" si="3"/>
        <v>0.14498870854763335</v>
      </c>
      <c r="F8">
        <f t="shared" si="4"/>
        <v>1.0937119393177532</v>
      </c>
      <c r="G8">
        <f t="shared" si="5"/>
        <v>8.0347083612844483E-4</v>
      </c>
      <c r="H8">
        <f t="shared" si="1"/>
        <v>5.6531817300471241</v>
      </c>
    </row>
    <row r="9" spans="1:10" x14ac:dyDescent="0.25">
      <c r="A9">
        <v>49</v>
      </c>
      <c r="B9">
        <v>1.5857000000000001</v>
      </c>
      <c r="C9">
        <f t="shared" si="0"/>
        <v>0.46102595021338483</v>
      </c>
      <c r="D9">
        <f t="shared" si="2"/>
        <v>0.17177907516951416</v>
      </c>
      <c r="E9">
        <f t="shared" si="3"/>
        <v>0.17260634908386738</v>
      </c>
      <c r="F9">
        <f t="shared" si="4"/>
        <v>1.1054508439162454</v>
      </c>
      <c r="G9">
        <f t="shared" si="5"/>
        <v>-8.2727391435322151E-4</v>
      </c>
      <c r="H9">
        <f t="shared" si="1"/>
        <v>5.6350558222433023</v>
      </c>
    </row>
    <row r="10" spans="1:10" x14ac:dyDescent="0.25">
      <c r="A10">
        <v>57</v>
      </c>
      <c r="B10">
        <v>1.6105</v>
      </c>
      <c r="C10">
        <f t="shared" si="0"/>
        <v>0.47654468978911652</v>
      </c>
      <c r="D10">
        <f t="shared" si="2"/>
        <v>0.20093315208445472</v>
      </c>
      <c r="E10">
        <f t="shared" si="3"/>
        <v>0.20022398962010143</v>
      </c>
      <c r="F10">
        <f t="shared" si="4"/>
        <v>1.1161639066680902</v>
      </c>
      <c r="G10">
        <f t="shared" si="5"/>
        <v>7.0916246435329122E-4</v>
      </c>
      <c r="H10">
        <f t="shared" si="1"/>
        <v>5.719795583552739</v>
      </c>
    </row>
    <row r="11" spans="1:10" x14ac:dyDescent="0.25">
      <c r="A11">
        <v>65</v>
      </c>
      <c r="B11">
        <v>1.6305000000000001</v>
      </c>
      <c r="C11">
        <f t="shared" si="0"/>
        <v>0.48888671624723679</v>
      </c>
      <c r="D11">
        <f t="shared" si="2"/>
        <v>0.22757848826125432</v>
      </c>
      <c r="E11">
        <f t="shared" si="3"/>
        <v>0.22784163015633546</v>
      </c>
      <c r="F11">
        <f t="shared" si="4"/>
        <v>1.1260237477275552</v>
      </c>
      <c r="G11">
        <f t="shared" si="5"/>
        <v>-2.6314189508114261E-4</v>
      </c>
      <c r="H11">
        <f t="shared" si="1"/>
        <v>5.922301527101439</v>
      </c>
    </row>
    <row r="12" spans="1:10" x14ac:dyDescent="0.25">
      <c r="A12">
        <v>73</v>
      </c>
      <c r="B12">
        <v>1.6496999999999999</v>
      </c>
      <c r="C12">
        <f t="shared" si="0"/>
        <v>0.50059345319974158</v>
      </c>
      <c r="D12">
        <f t="shared" si="2"/>
        <v>0.25608277690813347</v>
      </c>
      <c r="E12">
        <f t="shared" si="3"/>
        <v>0.25545927069256946</v>
      </c>
      <c r="F12">
        <f t="shared" si="4"/>
        <v>1.1351622351446176</v>
      </c>
      <c r="G12">
        <f t="shared" si="5"/>
        <v>6.2350621556400698E-4</v>
      </c>
      <c r="H12">
        <f t="shared" si="1"/>
        <v>5.7730998407626881</v>
      </c>
    </row>
    <row r="13" spans="1:10" x14ac:dyDescent="0.25">
      <c r="A13">
        <v>81</v>
      </c>
      <c r="B13">
        <v>1.6654</v>
      </c>
      <c r="C13">
        <f t="shared" si="0"/>
        <v>0.51006533481958194</v>
      </c>
      <c r="D13">
        <f t="shared" si="2"/>
        <v>0.28171900874645461</v>
      </c>
      <c r="E13">
        <f t="shared" si="3"/>
        <v>0.28307691122880352</v>
      </c>
      <c r="F13">
        <f t="shared" si="4"/>
        <v>1.1436824552375904</v>
      </c>
      <c r="G13">
        <f t="shared" si="5"/>
        <v>-1.357902482348905E-3</v>
      </c>
      <c r="H13">
        <f t="shared" si="1"/>
        <v>5.0936065400593407</v>
      </c>
    </row>
    <row r="14" spans="1:10" x14ac:dyDescent="0.25">
      <c r="A14">
        <v>89</v>
      </c>
      <c r="B14">
        <v>1.6816</v>
      </c>
      <c r="C14">
        <f t="shared" si="0"/>
        <v>0.51974572114054962</v>
      </c>
      <c r="D14">
        <f t="shared" si="2"/>
        <v>0.31055555036870941</v>
      </c>
      <c r="E14">
        <f t="shared" si="3"/>
        <v>0.31069455176503757</v>
      </c>
      <c r="F14">
        <f t="shared" si="4"/>
        <v>1.1516665728674229</v>
      </c>
      <c r="G14">
        <f t="shared" si="5"/>
        <v>-1.3900139632816444E-4</v>
      </c>
      <c r="H14">
        <f t="shared" si="1"/>
        <v>5.9456132819706387</v>
      </c>
    </row>
    <row r="15" spans="1:10" x14ac:dyDescent="0.25">
      <c r="A15">
        <v>97</v>
      </c>
      <c r="B15">
        <v>1.6953</v>
      </c>
      <c r="C15">
        <f t="shared" si="0"/>
        <v>0.52785971632177031</v>
      </c>
      <c r="D15">
        <f t="shared" si="2"/>
        <v>0.33697409039587778</v>
      </c>
      <c r="E15">
        <f t="shared" si="3"/>
        <v>0.33831219230127163</v>
      </c>
      <c r="F15">
        <f t="shared" si="4"/>
        <v>1.1591811701859194</v>
      </c>
      <c r="G15">
        <f t="shared" si="5"/>
        <v>-1.3381019053938514E-3</v>
      </c>
      <c r="H15">
        <f t="shared" si="1"/>
        <v>5.1185340612070265</v>
      </c>
    </row>
    <row r="16" spans="1:10" x14ac:dyDescent="0.25">
      <c r="A16">
        <v>105</v>
      </c>
      <c r="B16">
        <v>1.7094</v>
      </c>
      <c r="C16">
        <f t="shared" si="0"/>
        <v>0.5361424317497806</v>
      </c>
      <c r="D16">
        <f t="shared" si="2"/>
        <v>0.36624850668666786</v>
      </c>
      <c r="E16">
        <f t="shared" si="3"/>
        <v>0.36592983283750569</v>
      </c>
      <c r="F16">
        <f t="shared" si="4"/>
        <v>1.1662809782919632</v>
      </c>
      <c r="G16">
        <f t="shared" si="5"/>
        <v>3.1867384916217656E-4</v>
      </c>
      <c r="H16">
        <f t="shared" si="1"/>
        <v>5.9072143121174392</v>
      </c>
    </row>
    <row r="17" spans="1:8" x14ac:dyDescent="0.25">
      <c r="A17">
        <v>113</v>
      </c>
      <c r="B17">
        <v>1.7214</v>
      </c>
      <c r="C17">
        <f t="shared" si="0"/>
        <v>0.54313791323323712</v>
      </c>
      <c r="D17">
        <f t="shared" si="2"/>
        <v>0.39293570143370998</v>
      </c>
      <c r="E17">
        <f t="shared" si="3"/>
        <v>0.39354747337373974</v>
      </c>
      <c r="F17">
        <f t="shared" si="4"/>
        <v>1.1730115507502077</v>
      </c>
      <c r="G17">
        <f t="shared" si="5"/>
        <v>-6.1177194002975943E-4</v>
      </c>
      <c r="H17">
        <f t="shared" si="1"/>
        <v>5.7798684851385156</v>
      </c>
    </row>
    <row r="18" spans="1:8" x14ac:dyDescent="0.25">
      <c r="A18">
        <v>121</v>
      </c>
      <c r="B18">
        <v>1.7335</v>
      </c>
      <c r="C18">
        <f t="shared" si="0"/>
        <v>0.55014248614294115</v>
      </c>
      <c r="D18">
        <f t="shared" si="2"/>
        <v>0.42159692725692094</v>
      </c>
      <c r="E18">
        <f t="shared" si="3"/>
        <v>0.42116511390997369</v>
      </c>
      <c r="F18">
        <f t="shared" si="4"/>
        <v>1.1794112205769951</v>
      </c>
      <c r="G18">
        <f t="shared" si="5"/>
        <v>4.3181334694725182E-4</v>
      </c>
      <c r="H18">
        <f t="shared" si="1"/>
        <v>5.8675647689808352</v>
      </c>
    </row>
    <row r="19" spans="1:8" x14ac:dyDescent="0.25">
      <c r="A19">
        <v>129</v>
      </c>
      <c r="B19">
        <v>1.7439</v>
      </c>
      <c r="C19">
        <f t="shared" si="0"/>
        <v>0.55612398439327748</v>
      </c>
      <c r="D19">
        <f t="shared" si="2"/>
        <v>0.44771389640082687</v>
      </c>
      <c r="E19">
        <f t="shared" si="3"/>
        <v>0.44878275444620774</v>
      </c>
      <c r="F19">
        <f t="shared" si="4"/>
        <v>1.1855125599855063</v>
      </c>
      <c r="G19">
        <f t="shared" si="5"/>
        <v>-1.0688580453808716E-3</v>
      </c>
      <c r="H19">
        <f t="shared" si="1"/>
        <v>5.4211524578847801</v>
      </c>
    </row>
    <row r="20" spans="1:8" x14ac:dyDescent="0.25">
      <c r="A20">
        <v>137</v>
      </c>
      <c r="B20">
        <v>1.7554000000000001</v>
      </c>
      <c r="C20">
        <f t="shared" si="0"/>
        <v>0.56269675117588025</v>
      </c>
      <c r="D20">
        <f t="shared" si="2"/>
        <v>0.47827434805980379</v>
      </c>
      <c r="E20">
        <f t="shared" si="3"/>
        <v>0.4764003949824418</v>
      </c>
      <c r="F20">
        <f t="shared" si="4"/>
        <v>1.1913434875477631</v>
      </c>
      <c r="G20">
        <f t="shared" si="5"/>
        <v>1.8739530773619895E-3</v>
      </c>
      <c r="H20">
        <f t="shared" si="1"/>
        <v>4.3148084468532852</v>
      </c>
    </row>
    <row r="21" spans="1:8" x14ac:dyDescent="0.25">
      <c r="B21">
        <f>_xlfn.STDEV.S(B2:B20)</f>
        <v>0.16606235406797423</v>
      </c>
      <c r="D21">
        <f>_xlfn.STDEV.S(D2:D20)</f>
        <v>0.15225456964575121</v>
      </c>
      <c r="E21" t="s">
        <v>89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H22" sqref="H22"/>
    </sheetView>
  </sheetViews>
  <sheetFormatPr defaultRowHeight="15" x14ac:dyDescent="0.25"/>
  <cols>
    <col min="10" max="10" width="12.5703125" customWidth="1"/>
  </cols>
  <sheetData>
    <row r="1" spans="1:9" x14ac:dyDescent="0.25">
      <c r="A1" t="s">
        <v>0</v>
      </c>
      <c r="B1" t="s">
        <v>1</v>
      </c>
      <c r="C1" t="s">
        <v>3</v>
      </c>
      <c r="D1" t="s">
        <v>7</v>
      </c>
      <c r="E1" t="s">
        <v>70</v>
      </c>
      <c r="F1" t="s">
        <v>6</v>
      </c>
      <c r="G1" t="s">
        <v>2</v>
      </c>
      <c r="H1">
        <v>10.008823730760865</v>
      </c>
      <c r="I1" t="s">
        <v>65</v>
      </c>
    </row>
    <row r="2" spans="1:9" x14ac:dyDescent="0.25">
      <c r="A2">
        <v>1</v>
      </c>
      <c r="B2">
        <v>1.1881999999999999</v>
      </c>
      <c r="C2">
        <f t="shared" ref="C2:C20" si="0">LN(B2)</f>
        <v>0.17243955693950394</v>
      </c>
      <c r="D2">
        <f t="shared" ref="D2:D20" si="1">IF(H$1=0,C2,(B2^H$1 -1)/H$1)</f>
        <v>0.46135998837823483</v>
      </c>
      <c r="E2">
        <f>H$3+H$2*A2</f>
        <v>0.40103267949289245</v>
      </c>
      <c r="F2">
        <f>D2-E2</f>
        <v>6.0327308885342379E-2</v>
      </c>
      <c r="G2" t="s">
        <v>5</v>
      </c>
      <c r="H2">
        <f>SLOPE(D2:D20,A2:A20)</f>
        <v>0.20062979244546808</v>
      </c>
      <c r="I2" t="s">
        <v>66</v>
      </c>
    </row>
    <row r="3" spans="1:9" x14ac:dyDescent="0.25">
      <c r="A3">
        <v>4</v>
      </c>
      <c r="B3">
        <v>1.2625</v>
      </c>
      <c r="C3">
        <f t="shared" si="0"/>
        <v>0.23309388216737781</v>
      </c>
      <c r="D3">
        <f t="shared" si="1"/>
        <v>0.93005695107593644</v>
      </c>
      <c r="E3">
        <f t="shared" ref="E3:E20" si="2">H$3+H$2*A3</f>
        <v>1.0029220568292967</v>
      </c>
      <c r="F3">
        <f t="shared" ref="F3:F20" si="3">D3-E3</f>
        <v>-7.2865105753360249E-2</v>
      </c>
      <c r="G3" t="s">
        <v>4</v>
      </c>
      <c r="H3">
        <f>AVERAGE(D2:D20)-H2*AVERAGE(A2:A20)</f>
        <v>0.20040288704742437</v>
      </c>
    </row>
    <row r="4" spans="1:9" x14ac:dyDescent="0.25">
      <c r="A4">
        <v>9</v>
      </c>
      <c r="B4">
        <v>1.3506</v>
      </c>
      <c r="C4">
        <f t="shared" si="0"/>
        <v>0.30054893815860451</v>
      </c>
      <c r="D4">
        <f t="shared" si="1"/>
        <v>1.9232757191328353</v>
      </c>
      <c r="E4">
        <f t="shared" si="2"/>
        <v>2.0060710190566371</v>
      </c>
      <c r="F4">
        <f t="shared" si="3"/>
        <v>-8.2795299923801746E-2</v>
      </c>
      <c r="G4" t="s">
        <v>12</v>
      </c>
      <c r="H4">
        <f>-H8/2*LN(H9)+(H1-1)*(H8/H7)*SUM(C2:C20)</f>
        <v>109.97718641314083</v>
      </c>
    </row>
    <row r="5" spans="1:9" x14ac:dyDescent="0.25">
      <c r="A5">
        <v>17</v>
      </c>
      <c r="B5">
        <v>1.4348000000000001</v>
      </c>
      <c r="C5">
        <f t="shared" si="0"/>
        <v>0.3610254666759905</v>
      </c>
      <c r="D5">
        <f t="shared" si="1"/>
        <v>3.606162478180801</v>
      </c>
      <c r="E5">
        <f t="shared" si="2"/>
        <v>3.6111093586203817</v>
      </c>
      <c r="F5">
        <f t="shared" si="3"/>
        <v>-4.946880439580692E-3</v>
      </c>
      <c r="G5" t="s">
        <v>13</v>
      </c>
      <c r="H5">
        <f>-H7/2*LN(H9)+(H1-1)*SUM(C2:C20)</f>
        <v>130.59790886560472</v>
      </c>
    </row>
    <row r="6" spans="1:9" x14ac:dyDescent="0.25">
      <c r="A6">
        <v>25</v>
      </c>
      <c r="B6">
        <v>1.4897</v>
      </c>
      <c r="C6">
        <f t="shared" si="0"/>
        <v>0.39857475740341025</v>
      </c>
      <c r="D6">
        <f t="shared" si="1"/>
        <v>5.2968408192572651</v>
      </c>
      <c r="E6">
        <f t="shared" si="2"/>
        <v>5.2161476981841268</v>
      </c>
      <c r="F6">
        <f t="shared" si="3"/>
        <v>8.0693121073138308E-2</v>
      </c>
    </row>
    <row r="7" spans="1:9" x14ac:dyDescent="0.25">
      <c r="A7">
        <v>33</v>
      </c>
      <c r="B7">
        <v>1.5286999999999999</v>
      </c>
      <c r="C7">
        <f t="shared" si="0"/>
        <v>0.42441770102485138</v>
      </c>
      <c r="D7">
        <f t="shared" si="1"/>
        <v>6.8899086902093014</v>
      </c>
      <c r="E7">
        <f t="shared" si="2"/>
        <v>6.8211860377478715</v>
      </c>
      <c r="F7">
        <f t="shared" si="3"/>
        <v>6.8722652461429945E-2</v>
      </c>
      <c r="G7" t="s">
        <v>21</v>
      </c>
      <c r="H7">
        <v>19</v>
      </c>
    </row>
    <row r="8" spans="1:9" x14ac:dyDescent="0.25">
      <c r="A8">
        <v>41</v>
      </c>
      <c r="B8">
        <v>1.5602</v>
      </c>
      <c r="C8">
        <f t="shared" si="0"/>
        <v>0.44481401817207572</v>
      </c>
      <c r="D8">
        <f t="shared" si="1"/>
        <v>8.4729192229415471</v>
      </c>
      <c r="E8">
        <f t="shared" si="2"/>
        <v>8.4262243773116161</v>
      </c>
      <c r="F8">
        <f t="shared" si="3"/>
        <v>4.6694845629930981E-2</v>
      </c>
      <c r="G8" t="s">
        <v>22</v>
      </c>
      <c r="H8">
        <f>H7-3</f>
        <v>16</v>
      </c>
    </row>
    <row r="9" spans="1:9" x14ac:dyDescent="0.25">
      <c r="A9">
        <v>49</v>
      </c>
      <c r="B9">
        <v>1.5857000000000001</v>
      </c>
      <c r="C9">
        <f t="shared" si="0"/>
        <v>0.46102595021338483</v>
      </c>
      <c r="D9">
        <f t="shared" si="1"/>
        <v>9.9831845189077146</v>
      </c>
      <c r="E9">
        <f t="shared" si="2"/>
        <v>10.031262716875361</v>
      </c>
      <c r="F9">
        <f t="shared" si="3"/>
        <v>-4.8078197967646119E-2</v>
      </c>
      <c r="G9" t="s">
        <v>10</v>
      </c>
      <c r="H9">
        <f>_xlfn.VAR.S(F2:F20)</f>
        <v>3.6164879885376244E-3</v>
      </c>
    </row>
    <row r="10" spans="1:9" x14ac:dyDescent="0.25">
      <c r="A10">
        <v>57</v>
      </c>
      <c r="B10">
        <v>1.6105</v>
      </c>
      <c r="C10">
        <f t="shared" si="0"/>
        <v>0.47654468978911652</v>
      </c>
      <c r="D10">
        <f t="shared" si="1"/>
        <v>11.677515037127813</v>
      </c>
      <c r="E10">
        <f t="shared" si="2"/>
        <v>11.636301056439105</v>
      </c>
      <c r="F10">
        <f t="shared" si="3"/>
        <v>4.1213980688707963E-2</v>
      </c>
    </row>
    <row r="11" spans="1:9" x14ac:dyDescent="0.25">
      <c r="A11">
        <v>65</v>
      </c>
      <c r="B11">
        <v>1.6305000000000001</v>
      </c>
      <c r="C11">
        <f t="shared" si="0"/>
        <v>0.48888671624723679</v>
      </c>
      <c r="D11">
        <f t="shared" si="1"/>
        <v>13.226046530237033</v>
      </c>
      <c r="E11">
        <f t="shared" si="2"/>
        <v>13.24133939600285</v>
      </c>
      <c r="F11">
        <f t="shared" si="3"/>
        <v>-1.5292865765816899E-2</v>
      </c>
      <c r="G11" t="s">
        <v>14</v>
      </c>
      <c r="H11" s="5">
        <f>CORREL(A2:A101,D2:D101)</f>
        <v>0.99997690469521616</v>
      </c>
    </row>
    <row r="12" spans="1:9" x14ac:dyDescent="0.25">
      <c r="A12">
        <v>73</v>
      </c>
      <c r="B12">
        <v>1.6496999999999999</v>
      </c>
      <c r="C12">
        <f t="shared" si="0"/>
        <v>0.50059345319974158</v>
      </c>
      <c r="D12">
        <f t="shared" si="1"/>
        <v>14.882613682094282</v>
      </c>
      <c r="E12">
        <f t="shared" si="2"/>
        <v>14.846377735566595</v>
      </c>
      <c r="F12">
        <f t="shared" si="3"/>
        <v>3.6235946527687801E-2</v>
      </c>
    </row>
    <row r="13" spans="1:9" x14ac:dyDescent="0.25">
      <c r="A13">
        <v>81</v>
      </c>
      <c r="B13">
        <v>1.6654</v>
      </c>
      <c r="C13">
        <f t="shared" si="0"/>
        <v>0.51006533481958194</v>
      </c>
      <c r="D13">
        <f t="shared" si="1"/>
        <v>16.372499645881103</v>
      </c>
      <c r="E13">
        <f t="shared" si="2"/>
        <v>16.451416075130339</v>
      </c>
      <c r="F13">
        <f t="shared" si="3"/>
        <v>-7.8916429249236586E-2</v>
      </c>
    </row>
    <row r="14" spans="1:9" x14ac:dyDescent="0.25">
      <c r="A14">
        <v>89</v>
      </c>
      <c r="B14">
        <v>1.6816</v>
      </c>
      <c r="C14">
        <f t="shared" si="0"/>
        <v>0.51974572114054962</v>
      </c>
      <c r="D14">
        <f t="shared" si="1"/>
        <v>18.048376150661543</v>
      </c>
      <c r="E14">
        <f t="shared" si="2"/>
        <v>18.056454414694084</v>
      </c>
      <c r="F14">
        <f t="shared" si="3"/>
        <v>-8.0782640325409716E-3</v>
      </c>
    </row>
    <row r="15" spans="1:9" x14ac:dyDescent="0.25">
      <c r="A15">
        <v>97</v>
      </c>
      <c r="B15">
        <v>1.6953</v>
      </c>
      <c r="C15">
        <f t="shared" si="0"/>
        <v>0.52785971632177031</v>
      </c>
      <c r="D15">
        <f t="shared" si="1"/>
        <v>19.583727064228718</v>
      </c>
      <c r="E15">
        <f t="shared" si="2"/>
        <v>19.661492754257829</v>
      </c>
      <c r="F15">
        <f t="shared" si="3"/>
        <v>-7.7765690029110601E-2</v>
      </c>
    </row>
    <row r="16" spans="1:9" x14ac:dyDescent="0.25">
      <c r="A16">
        <v>105</v>
      </c>
      <c r="B16">
        <v>1.7094</v>
      </c>
      <c r="C16">
        <f t="shared" si="0"/>
        <v>0.5361424317497806</v>
      </c>
      <c r="D16">
        <f t="shared" si="1"/>
        <v>21.285051276376514</v>
      </c>
      <c r="E16">
        <f t="shared" si="2"/>
        <v>21.266531093821573</v>
      </c>
      <c r="F16">
        <f t="shared" si="3"/>
        <v>1.852018255494059E-2</v>
      </c>
    </row>
    <row r="17" spans="1:6" x14ac:dyDescent="0.25">
      <c r="A17">
        <v>113</v>
      </c>
      <c r="B17">
        <v>1.7214</v>
      </c>
      <c r="C17">
        <f t="shared" si="0"/>
        <v>0.54313791323323712</v>
      </c>
      <c r="D17">
        <f t="shared" si="1"/>
        <v>22.83601544003227</v>
      </c>
      <c r="E17">
        <f t="shared" si="2"/>
        <v>22.871569433385318</v>
      </c>
      <c r="F17">
        <f t="shared" si="3"/>
        <v>-3.5553993353047986E-2</v>
      </c>
    </row>
    <row r="18" spans="1:6" x14ac:dyDescent="0.25">
      <c r="A18">
        <v>121</v>
      </c>
      <c r="B18">
        <v>1.7335</v>
      </c>
      <c r="C18">
        <f t="shared" si="0"/>
        <v>0.55014248614294115</v>
      </c>
      <c r="D18">
        <f t="shared" si="1"/>
        <v>24.501703218794724</v>
      </c>
      <c r="E18">
        <f t="shared" si="2"/>
        <v>24.476607772949063</v>
      </c>
      <c r="F18">
        <f t="shared" si="3"/>
        <v>2.5095445845661146E-2</v>
      </c>
    </row>
    <row r="19" spans="1:6" x14ac:dyDescent="0.25">
      <c r="A19">
        <v>129</v>
      </c>
      <c r="B19">
        <v>1.7439</v>
      </c>
      <c r="C19">
        <f t="shared" si="0"/>
        <v>0.55612398439327748</v>
      </c>
      <c r="D19">
        <f t="shared" si="1"/>
        <v>26.019527913065861</v>
      </c>
      <c r="E19">
        <f t="shared" si="2"/>
        <v>26.081646112512807</v>
      </c>
      <c r="F19">
        <f t="shared" si="3"/>
        <v>-6.2118199446945965E-2</v>
      </c>
    </row>
    <row r="20" spans="1:6" x14ac:dyDescent="0.25">
      <c r="A20">
        <v>137</v>
      </c>
      <c r="B20">
        <v>1.7554000000000001</v>
      </c>
      <c r="C20">
        <f t="shared" si="0"/>
        <v>0.56269675117588025</v>
      </c>
      <c r="D20">
        <f t="shared" si="1"/>
        <v>27.795591894370808</v>
      </c>
      <c r="E20">
        <f t="shared" si="2"/>
        <v>27.686684452076552</v>
      </c>
      <c r="F20">
        <f t="shared" si="3"/>
        <v>0.10890744229425664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F8" sqref="F8"/>
    </sheetView>
  </sheetViews>
  <sheetFormatPr defaultRowHeight="15" x14ac:dyDescent="0.25"/>
  <cols>
    <col min="6" max="6" width="15.42578125" customWidth="1"/>
    <col min="7" max="7" width="12" bestFit="1" customWidth="1"/>
    <col min="10" max="10" width="12" bestFit="1" customWidth="1"/>
    <col min="15" max="15" width="12" bestFit="1" customWidth="1"/>
  </cols>
  <sheetData>
    <row r="1" spans="1:19" x14ac:dyDescent="0.25">
      <c r="A1" t="s">
        <v>0</v>
      </c>
      <c r="B1" t="s">
        <v>1</v>
      </c>
      <c r="C1" t="s">
        <v>88</v>
      </c>
      <c r="D1" t="s">
        <v>50</v>
      </c>
      <c r="E1" t="s">
        <v>9</v>
      </c>
      <c r="F1" s="6" t="s">
        <v>4</v>
      </c>
      <c r="G1" s="6" t="s">
        <v>5</v>
      </c>
      <c r="K1" t="s">
        <v>26</v>
      </c>
    </row>
    <row r="2" spans="1:19" ht="15.75" thickBot="1" x14ac:dyDescent="0.3">
      <c r="A2">
        <v>1</v>
      </c>
      <c r="B2">
        <v>4.5410886384523996</v>
      </c>
      <c r="C2">
        <f t="shared" ref="C2:C31" si="0">F$2+G$2*A2</f>
        <v>3.0377000000000001</v>
      </c>
      <c r="D2">
        <f t="shared" ref="D2:D31" si="1">(B2-C2)</f>
        <v>1.5033886384523996</v>
      </c>
      <c r="E2">
        <f t="shared" ref="E2:E32" si="2">LN(_xlfn.NORM.DIST(D2,0,D$32,FALSE))</f>
        <v>-1.8616804543514911</v>
      </c>
      <c r="F2">
        <v>0</v>
      </c>
      <c r="G2">
        <v>3.0377000000000001</v>
      </c>
    </row>
    <row r="3" spans="1:19" x14ac:dyDescent="0.25">
      <c r="A3">
        <v>2</v>
      </c>
      <c r="B3">
        <v>8.0045320191172191</v>
      </c>
      <c r="C3">
        <f t="shared" si="0"/>
        <v>6.0754000000000001</v>
      </c>
      <c r="D3">
        <f t="shared" si="1"/>
        <v>1.929132019117219</v>
      </c>
      <c r="E3">
        <f t="shared" si="2"/>
        <v>-2.0785703245048395</v>
      </c>
      <c r="K3" s="4" t="s">
        <v>27</v>
      </c>
      <c r="L3" s="4"/>
    </row>
    <row r="4" spans="1:19" x14ac:dyDescent="0.25">
      <c r="A4">
        <v>3</v>
      </c>
      <c r="B4">
        <v>6.0450952426732449</v>
      </c>
      <c r="C4">
        <f t="shared" si="0"/>
        <v>9.1130999999999993</v>
      </c>
      <c r="D4">
        <f t="shared" si="1"/>
        <v>-3.0680047573267544</v>
      </c>
      <c r="E4">
        <f t="shared" si="2"/>
        <v>-2.9232161472584028</v>
      </c>
      <c r="K4" s="1" t="s">
        <v>28</v>
      </c>
      <c r="L4" s="1">
        <v>0.99776968893037044</v>
      </c>
    </row>
    <row r="5" spans="1:19" x14ac:dyDescent="0.25">
      <c r="A5">
        <v>4</v>
      </c>
      <c r="B5">
        <v>9.8237562973808092</v>
      </c>
      <c r="C5">
        <f t="shared" si="0"/>
        <v>12.1508</v>
      </c>
      <c r="D5">
        <f t="shared" si="1"/>
        <v>-2.327043702619191</v>
      </c>
      <c r="E5">
        <f t="shared" si="2"/>
        <v>-2.3299235403070657</v>
      </c>
      <c r="K5" s="1" t="s">
        <v>29</v>
      </c>
      <c r="L5" s="1">
        <v>0.99554435214820813</v>
      </c>
    </row>
    <row r="6" spans="1:19" x14ac:dyDescent="0.25">
      <c r="A6">
        <v>5</v>
      </c>
      <c r="B6">
        <v>14.986724655403783</v>
      </c>
      <c r="C6">
        <f t="shared" si="0"/>
        <v>15.188500000000001</v>
      </c>
      <c r="D6">
        <f t="shared" si="1"/>
        <v>-0.20177534459621782</v>
      </c>
      <c r="E6">
        <f t="shared" si="2"/>
        <v>-1.5322783789569152</v>
      </c>
      <c r="F6" t="s">
        <v>87</v>
      </c>
      <c r="G6">
        <v>-58.900397987693331</v>
      </c>
      <c r="K6" s="1" t="s">
        <v>30</v>
      </c>
      <c r="L6" s="1">
        <v>0.995385221867787</v>
      </c>
    </row>
    <row r="7" spans="1:19" x14ac:dyDescent="0.25">
      <c r="A7">
        <v>6</v>
      </c>
      <c r="B7">
        <v>20.573965519639906</v>
      </c>
      <c r="C7">
        <f t="shared" si="0"/>
        <v>18.226199999999999</v>
      </c>
      <c r="D7">
        <f t="shared" si="1"/>
        <v>2.347765519639907</v>
      </c>
      <c r="E7">
        <f t="shared" si="2"/>
        <v>-2.3443005952139022</v>
      </c>
      <c r="F7" t="s">
        <v>9</v>
      </c>
      <c r="G7">
        <f>SUM(E2:E31)</f>
        <v>-60.813795493065491</v>
      </c>
      <c r="K7" s="1" t="s">
        <v>31</v>
      </c>
      <c r="L7" s="1">
        <v>1.7835760984686952</v>
      </c>
    </row>
    <row r="8" spans="1:19" ht="15.75" thickBot="1" x14ac:dyDescent="0.3">
      <c r="A8">
        <v>7</v>
      </c>
      <c r="B8">
        <v>23.205801851407575</v>
      </c>
      <c r="C8">
        <f t="shared" si="0"/>
        <v>21.2639</v>
      </c>
      <c r="D8">
        <f t="shared" si="1"/>
        <v>1.9419018514075752</v>
      </c>
      <c r="E8">
        <f t="shared" si="2"/>
        <v>-2.0859068489621482</v>
      </c>
      <c r="F8" t="s">
        <v>86</v>
      </c>
      <c r="G8">
        <f>2*(G6-G7)</f>
        <v>3.8267950107443198</v>
      </c>
      <c r="K8" s="2" t="s">
        <v>32</v>
      </c>
      <c r="L8" s="2">
        <v>30</v>
      </c>
    </row>
    <row r="9" spans="1:19" x14ac:dyDescent="0.25">
      <c r="A9">
        <v>8</v>
      </c>
      <c r="B9">
        <v>24.602092072838012</v>
      </c>
      <c r="C9">
        <f t="shared" si="0"/>
        <v>24.301600000000001</v>
      </c>
      <c r="D9">
        <f t="shared" si="1"/>
        <v>0.30049207283801138</v>
      </c>
      <c r="E9">
        <f t="shared" si="2"/>
        <v>-1.5396371275179286</v>
      </c>
      <c r="F9" t="s">
        <v>79</v>
      </c>
      <c r="G9">
        <f>_xlfn.CHISQ.DIST.RT(G8,1)</f>
        <v>5.0439293972420925E-2</v>
      </c>
    </row>
    <row r="10" spans="1:19" ht="15.75" thickBot="1" x14ac:dyDescent="0.3">
      <c r="A10">
        <v>9</v>
      </c>
      <c r="B10">
        <v>26.982153753842635</v>
      </c>
      <c r="C10">
        <f t="shared" si="0"/>
        <v>27.339300000000001</v>
      </c>
      <c r="D10">
        <f t="shared" si="1"/>
        <v>-0.35714624615736668</v>
      </c>
      <c r="E10">
        <f t="shared" si="2"/>
        <v>-1.5451667721539764</v>
      </c>
      <c r="K10" t="s">
        <v>33</v>
      </c>
    </row>
    <row r="11" spans="1:19" x14ac:dyDescent="0.25">
      <c r="A11">
        <v>10</v>
      </c>
      <c r="B11">
        <v>29.606564910864215</v>
      </c>
      <c r="C11">
        <f t="shared" si="0"/>
        <v>30.377000000000002</v>
      </c>
      <c r="D11">
        <f t="shared" si="1"/>
        <v>-0.77043508913578762</v>
      </c>
      <c r="E11">
        <f t="shared" si="2"/>
        <v>-1.6143307183956688</v>
      </c>
      <c r="K11" s="3"/>
      <c r="L11" s="3" t="s">
        <v>38</v>
      </c>
      <c r="M11" s="3" t="s">
        <v>39</v>
      </c>
      <c r="N11" s="3" t="s">
        <v>40</v>
      </c>
      <c r="O11" s="3" t="s">
        <v>41</v>
      </c>
      <c r="P11" s="3" t="s">
        <v>42</v>
      </c>
    </row>
    <row r="12" spans="1:19" x14ac:dyDescent="0.25">
      <c r="A12">
        <v>11</v>
      </c>
      <c r="B12">
        <v>35.564778688403528</v>
      </c>
      <c r="C12">
        <f t="shared" si="0"/>
        <v>33.414700000000003</v>
      </c>
      <c r="D12">
        <f t="shared" si="1"/>
        <v>2.150078688403525</v>
      </c>
      <c r="E12">
        <f t="shared" si="2"/>
        <v>-2.2123351116405052</v>
      </c>
      <c r="K12" s="1" t="s">
        <v>34</v>
      </c>
      <c r="L12" s="1">
        <v>1</v>
      </c>
      <c r="M12" s="1">
        <v>19901.741105204146</v>
      </c>
      <c r="N12" s="1">
        <v>19901.741105204146</v>
      </c>
      <c r="O12" s="1">
        <v>6256.1591012943072</v>
      </c>
      <c r="P12" s="1">
        <v>1.8202925717865041E-34</v>
      </c>
    </row>
    <row r="13" spans="1:19" x14ac:dyDescent="0.25">
      <c r="A13">
        <v>12</v>
      </c>
      <c r="B13">
        <v>35.570732430627288</v>
      </c>
      <c r="C13">
        <f t="shared" si="0"/>
        <v>36.452399999999997</v>
      </c>
      <c r="D13">
        <f t="shared" si="1"/>
        <v>-0.88166756937270918</v>
      </c>
      <c r="E13">
        <f t="shared" si="2"/>
        <v>-1.6416045940371924</v>
      </c>
      <c r="K13" s="1" t="s">
        <v>35</v>
      </c>
      <c r="L13" s="1">
        <v>28</v>
      </c>
      <c r="M13" s="1">
        <v>89.072023572806771</v>
      </c>
      <c r="N13" s="1">
        <v>3.1811436990288131</v>
      </c>
      <c r="O13" s="1"/>
      <c r="P13" s="1"/>
    </row>
    <row r="14" spans="1:19" ht="15.75" thickBot="1" x14ac:dyDescent="0.3">
      <c r="A14">
        <v>13</v>
      </c>
      <c r="B14">
        <v>39.014401746609799</v>
      </c>
      <c r="C14">
        <f t="shared" si="0"/>
        <v>39.490099999999998</v>
      </c>
      <c r="D14">
        <f t="shared" si="1"/>
        <v>-0.475698253390199</v>
      </c>
      <c r="E14">
        <f t="shared" si="2"/>
        <v>-1.5598205984139877</v>
      </c>
      <c r="K14" s="2" t="s">
        <v>36</v>
      </c>
      <c r="L14" s="2">
        <v>29</v>
      </c>
      <c r="M14" s="2">
        <v>19990.813128776954</v>
      </c>
      <c r="N14" s="2"/>
      <c r="O14" s="2"/>
      <c r="P14" s="2"/>
    </row>
    <row r="15" spans="1:19" ht="15.75" thickBot="1" x14ac:dyDescent="0.3">
      <c r="A15">
        <v>14</v>
      </c>
      <c r="B15">
        <v>41.832802895731916</v>
      </c>
      <c r="C15">
        <f t="shared" si="0"/>
        <v>42.527799999999999</v>
      </c>
      <c r="D15">
        <f t="shared" si="1"/>
        <v>-0.69499710426808292</v>
      </c>
      <c r="E15">
        <f t="shared" si="2"/>
        <v>-1.5979235357877946</v>
      </c>
    </row>
    <row r="16" spans="1:19" x14ac:dyDescent="0.25">
      <c r="A16">
        <v>15</v>
      </c>
      <c r="B16">
        <v>47.124161442248827</v>
      </c>
      <c r="C16">
        <f t="shared" si="0"/>
        <v>45.5655</v>
      </c>
      <c r="D16">
        <f t="shared" si="1"/>
        <v>1.5586614422488267</v>
      </c>
      <c r="E16">
        <f t="shared" si="2"/>
        <v>-1.8867994337409011</v>
      </c>
      <c r="K16" s="3"/>
      <c r="L16" s="3" t="s">
        <v>43</v>
      </c>
      <c r="M16" s="3" t="s">
        <v>31</v>
      </c>
      <c r="N16" s="3" t="s">
        <v>44</v>
      </c>
      <c r="O16" s="3" t="s">
        <v>45</v>
      </c>
      <c r="P16" s="3" t="s">
        <v>46</v>
      </c>
      <c r="Q16" s="3" t="s">
        <v>47</v>
      </c>
      <c r="R16" s="3" t="s">
        <v>48</v>
      </c>
      <c r="S16" s="3" t="s">
        <v>49</v>
      </c>
    </row>
    <row r="17" spans="1:19" x14ac:dyDescent="0.25">
      <c r="A17">
        <v>16</v>
      </c>
      <c r="B17">
        <v>48.485959557929363</v>
      </c>
      <c r="C17">
        <f t="shared" si="0"/>
        <v>48.603200000000001</v>
      </c>
      <c r="D17">
        <f t="shared" si="1"/>
        <v>-0.11724044207063855</v>
      </c>
      <c r="E17">
        <f t="shared" si="2"/>
        <v>-1.5282759241590052</v>
      </c>
      <c r="K17" s="1" t="s">
        <v>37</v>
      </c>
      <c r="L17" s="1">
        <v>0.61635998568025485</v>
      </c>
      <c r="M17" s="1">
        <v>0.66790075255692705</v>
      </c>
      <c r="N17" s="1">
        <v>0.92283169815371746</v>
      </c>
      <c r="O17" s="1">
        <v>0.36397924870703591</v>
      </c>
      <c r="P17" s="1">
        <v>-0.75177268586777291</v>
      </c>
      <c r="Q17" s="1">
        <v>1.9844926572282826</v>
      </c>
      <c r="R17" s="1">
        <v>-0.75177268586777291</v>
      </c>
      <c r="S17" s="1">
        <v>1.9844926572282826</v>
      </c>
    </row>
    <row r="18" spans="1:19" ht="15.75" thickBot="1" x14ac:dyDescent="0.3">
      <c r="A18">
        <v>17</v>
      </c>
      <c r="B18">
        <v>48.805643314811277</v>
      </c>
      <c r="C18">
        <f t="shared" si="0"/>
        <v>51.640900000000002</v>
      </c>
      <c r="D18">
        <f t="shared" si="1"/>
        <v>-2.8352566851887246</v>
      </c>
      <c r="E18">
        <f t="shared" si="2"/>
        <v>-2.7192977942714394</v>
      </c>
      <c r="K18" s="2" t="s">
        <v>0</v>
      </c>
      <c r="L18" s="2">
        <v>2.9757448179317891</v>
      </c>
      <c r="M18" s="2">
        <v>3.7621992592071926E-2</v>
      </c>
      <c r="N18" s="2">
        <v>79.095885489033535</v>
      </c>
      <c r="O18" s="2">
        <v>1.8202925717865041E-34</v>
      </c>
      <c r="P18" s="2">
        <v>2.8986796596176214</v>
      </c>
      <c r="Q18" s="2">
        <v>3.0528099762459568</v>
      </c>
      <c r="R18" s="2">
        <v>2.8986796596176214</v>
      </c>
      <c r="S18" s="2">
        <v>3.0528099762459568</v>
      </c>
    </row>
    <row r="19" spans="1:19" x14ac:dyDescent="0.25">
      <c r="A19">
        <v>18</v>
      </c>
      <c r="B19">
        <v>55.121110348636485</v>
      </c>
      <c r="C19">
        <f t="shared" si="0"/>
        <v>54.678600000000003</v>
      </c>
      <c r="D19">
        <f t="shared" si="1"/>
        <v>0.44251034863648187</v>
      </c>
      <c r="E19">
        <f t="shared" si="2"/>
        <v>-1.5552978815873266</v>
      </c>
    </row>
    <row r="20" spans="1:19" x14ac:dyDescent="0.25">
      <c r="A20">
        <v>19</v>
      </c>
      <c r="B20">
        <v>57.619724173648322</v>
      </c>
      <c r="C20">
        <f t="shared" si="0"/>
        <v>57.716300000000004</v>
      </c>
      <c r="D20">
        <f t="shared" si="1"/>
        <v>-9.6575826351681826E-2</v>
      </c>
      <c r="E20">
        <f t="shared" si="2"/>
        <v>-1.5276201621023722</v>
      </c>
    </row>
    <row r="21" spans="1:19" x14ac:dyDescent="0.25">
      <c r="A21">
        <v>20</v>
      </c>
      <c r="B21">
        <v>62.130746281272522</v>
      </c>
      <c r="C21">
        <f t="shared" si="0"/>
        <v>60.754000000000005</v>
      </c>
      <c r="D21">
        <f t="shared" si="1"/>
        <v>1.3767462812725171</v>
      </c>
      <c r="E21">
        <f t="shared" si="2"/>
        <v>-1.807546466280888</v>
      </c>
      <c r="K21" t="s">
        <v>85</v>
      </c>
      <c r="L21">
        <f>_xlfn.T.INV(0.975,28)</f>
        <v>2.0484071417952445</v>
      </c>
    </row>
    <row r="22" spans="1:19" x14ac:dyDescent="0.25">
      <c r="A22">
        <v>21</v>
      </c>
      <c r="B22">
        <v>65.144401118820895</v>
      </c>
      <c r="C22">
        <f t="shared" si="0"/>
        <v>63.791699999999999</v>
      </c>
      <c r="D22">
        <f t="shared" si="1"/>
        <v>1.3527011188208959</v>
      </c>
      <c r="E22">
        <f t="shared" si="2"/>
        <v>-1.7978059797612116</v>
      </c>
      <c r="K22" t="s">
        <v>84</v>
      </c>
      <c r="L22">
        <f>L21*M18</f>
        <v>7.7065158314167923E-2</v>
      </c>
    </row>
    <row r="23" spans="1:19" x14ac:dyDescent="0.25">
      <c r="A23">
        <v>22</v>
      </c>
      <c r="B23">
        <v>64.261271464579863</v>
      </c>
      <c r="C23">
        <f t="shared" si="0"/>
        <v>66.829400000000007</v>
      </c>
      <c r="D23">
        <f t="shared" si="1"/>
        <v>-2.5681285354201435</v>
      </c>
      <c r="E23">
        <f t="shared" si="2"/>
        <v>-2.5050759315056403</v>
      </c>
      <c r="K23" t="s">
        <v>83</v>
      </c>
      <c r="L23">
        <f>L18-L22</f>
        <v>2.8986796596176214</v>
      </c>
      <c r="M23">
        <v>2.9020000000000001</v>
      </c>
    </row>
    <row r="24" spans="1:19" x14ac:dyDescent="0.25">
      <c r="A24">
        <v>23</v>
      </c>
      <c r="B24">
        <v>68.172644193630859</v>
      </c>
      <c r="C24">
        <f t="shared" si="0"/>
        <v>69.867100000000008</v>
      </c>
      <c r="D24">
        <f t="shared" si="1"/>
        <v>-1.6944558063691488</v>
      </c>
      <c r="E24">
        <f t="shared" si="2"/>
        <v>-1.9523625619591309</v>
      </c>
      <c r="K24" t="s">
        <v>82</v>
      </c>
      <c r="L24">
        <f>L18+L22</f>
        <v>3.0528099762459568</v>
      </c>
      <c r="M24">
        <v>3.0377000000000001</v>
      </c>
    </row>
    <row r="25" spans="1:19" x14ac:dyDescent="0.25">
      <c r="A25">
        <v>24</v>
      </c>
      <c r="B25">
        <v>71.777946617227755</v>
      </c>
      <c r="C25">
        <f t="shared" si="0"/>
        <v>72.904799999999994</v>
      </c>
      <c r="D25">
        <f t="shared" si="1"/>
        <v>-1.1268533827722393</v>
      </c>
      <c r="E25">
        <f t="shared" si="2"/>
        <v>-1.7146932388304299</v>
      </c>
    </row>
    <row r="26" spans="1:19" x14ac:dyDescent="0.25">
      <c r="A26">
        <v>25</v>
      </c>
      <c r="B26">
        <v>72.602755587408694</v>
      </c>
      <c r="C26">
        <f t="shared" si="0"/>
        <v>75.942499999999995</v>
      </c>
      <c r="D26">
        <f t="shared" si="1"/>
        <v>-3.3397444125913012</v>
      </c>
      <c r="E26">
        <f t="shared" si="2"/>
        <v>-3.1816424581286213</v>
      </c>
    </row>
    <row r="27" spans="1:19" x14ac:dyDescent="0.25">
      <c r="A27">
        <v>26</v>
      </c>
      <c r="B27">
        <v>75.70186369359412</v>
      </c>
      <c r="C27">
        <f t="shared" si="0"/>
        <v>78.980199999999996</v>
      </c>
      <c r="D27">
        <f t="shared" si="1"/>
        <v>-3.2783363064058761</v>
      </c>
      <c r="E27">
        <f t="shared" si="2"/>
        <v>-3.1213259809133245</v>
      </c>
    </row>
    <row r="28" spans="1:19" x14ac:dyDescent="0.25">
      <c r="A28">
        <v>27</v>
      </c>
      <c r="B28">
        <v>83.982560513887606</v>
      </c>
      <c r="C28">
        <f t="shared" si="0"/>
        <v>82.017899999999997</v>
      </c>
      <c r="D28">
        <f t="shared" si="1"/>
        <v>1.9646605138876083</v>
      </c>
      <c r="E28">
        <f t="shared" si="2"/>
        <v>-2.0991021621256807</v>
      </c>
    </row>
    <row r="29" spans="1:19" x14ac:dyDescent="0.25">
      <c r="A29">
        <v>28</v>
      </c>
      <c r="B29">
        <v>83.372332306630398</v>
      </c>
      <c r="C29">
        <f t="shared" si="0"/>
        <v>85.055599999999998</v>
      </c>
      <c r="D29">
        <f t="shared" si="1"/>
        <v>-1.6832676933696007</v>
      </c>
      <c r="E29">
        <f t="shared" si="2"/>
        <v>-1.946753901564285</v>
      </c>
    </row>
    <row r="30" spans="1:19" x14ac:dyDescent="0.25">
      <c r="A30">
        <v>29</v>
      </c>
      <c r="B30">
        <v>89.386387940606866</v>
      </c>
      <c r="C30">
        <f t="shared" si="0"/>
        <v>88.093299999999999</v>
      </c>
      <c r="D30">
        <f t="shared" si="1"/>
        <v>1.2930879406068669</v>
      </c>
      <c r="E30">
        <f t="shared" si="2"/>
        <v>-1.7743973659165597</v>
      </c>
    </row>
    <row r="31" spans="1:19" x14ac:dyDescent="0.25">
      <c r="A31">
        <v>30</v>
      </c>
      <c r="B31">
        <v>88.168140630763432</v>
      </c>
      <c r="C31">
        <f t="shared" si="0"/>
        <v>91.131</v>
      </c>
      <c r="D31">
        <f t="shared" si="1"/>
        <v>-2.9628593692365683</v>
      </c>
      <c r="E31">
        <f t="shared" si="2"/>
        <v>-2.8291035027168387</v>
      </c>
    </row>
    <row r="32" spans="1:19" x14ac:dyDescent="0.25">
      <c r="D32">
        <f>_xlfn.STDEV.S(D2:D31)</f>
        <v>1.8354641222489534</v>
      </c>
      <c r="E32">
        <f t="shared" si="2"/>
        <v>-2.0262359103865046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B1" workbookViewId="0">
      <selection activeCell="K4" sqref="K4"/>
    </sheetView>
  </sheetViews>
  <sheetFormatPr defaultRowHeight="15" x14ac:dyDescent="0.25"/>
  <cols>
    <col min="10" max="10" width="12.5703125" customWidth="1"/>
  </cols>
  <sheetData>
    <row r="1" spans="1:12" x14ac:dyDescent="0.25">
      <c r="A1" t="s">
        <v>0</v>
      </c>
      <c r="B1" t="s">
        <v>1</v>
      </c>
      <c r="C1" t="s">
        <v>3</v>
      </c>
      <c r="D1" t="s">
        <v>7</v>
      </c>
      <c r="E1" t="s">
        <v>70</v>
      </c>
      <c r="F1" t="s">
        <v>6</v>
      </c>
      <c r="G1" t="s">
        <v>2</v>
      </c>
      <c r="H1">
        <v>10.11</v>
      </c>
      <c r="I1" t="s">
        <v>65</v>
      </c>
    </row>
    <row r="2" spans="1:12" x14ac:dyDescent="0.25">
      <c r="A2">
        <v>1</v>
      </c>
      <c r="B2">
        <v>1.1881999999999999</v>
      </c>
      <c r="C2">
        <f t="shared" ref="C2:C20" si="0">LN(B2)</f>
        <v>0.17243955693950394</v>
      </c>
      <c r="D2">
        <f t="shared" ref="D2:D20" si="1">IF(H$1=0,C2,(B2^H$1 -1)/H$1)</f>
        <v>0.46652236454471674</v>
      </c>
      <c r="E2">
        <f>H$3+H$2*A2</f>
        <v>0.33993259436205936</v>
      </c>
      <c r="F2">
        <f>D2-E2</f>
        <v>0.12658977018265738</v>
      </c>
      <c r="G2" t="s">
        <v>5</v>
      </c>
      <c r="H2">
        <f>SLOPE(D2:D20,A2:A20)</f>
        <v>0.21051896308944876</v>
      </c>
      <c r="I2" t="s">
        <v>66</v>
      </c>
    </row>
    <row r="3" spans="1:12" x14ac:dyDescent="0.25">
      <c r="A3">
        <v>4</v>
      </c>
      <c r="B3">
        <v>1.2625</v>
      </c>
      <c r="C3">
        <f t="shared" si="0"/>
        <v>0.23309388216737781</v>
      </c>
      <c r="D3">
        <f t="shared" si="1"/>
        <v>0.9450824214399185</v>
      </c>
      <c r="E3">
        <f t="shared" ref="E3:E20" si="2">H$3+H$2*A3</f>
        <v>0.97148948363040566</v>
      </c>
      <c r="F3">
        <f t="shared" ref="F3:F20" si="3">D3-E3</f>
        <v>-2.6407062190487163E-2</v>
      </c>
      <c r="G3" t="s">
        <v>4</v>
      </c>
      <c r="H3">
        <f>AVERAGE(D2:D20)-H2*AVERAGE(A2:A20)</f>
        <v>0.12941363127261063</v>
      </c>
    </row>
    <row r="4" spans="1:12" x14ac:dyDescent="0.25">
      <c r="A4">
        <v>9</v>
      </c>
      <c r="B4">
        <v>1.3506</v>
      </c>
      <c r="C4">
        <f t="shared" si="0"/>
        <v>0.30054893815860451</v>
      </c>
      <c r="D4">
        <f t="shared" si="1"/>
        <v>1.9658701966654542</v>
      </c>
      <c r="E4">
        <f t="shared" si="2"/>
        <v>2.0240842990776495</v>
      </c>
      <c r="F4">
        <f t="shared" si="3"/>
        <v>-5.8214102412195379E-2</v>
      </c>
      <c r="G4" t="s">
        <v>12</v>
      </c>
      <c r="H4">
        <f>-H8/2*LN(H9)+(H1-1)*(H8/H7)*SUM(C2:C20)</f>
        <v>108.06556136414056</v>
      </c>
      <c r="J4" t="s">
        <v>77</v>
      </c>
      <c r="K4">
        <v>109.977186412913</v>
      </c>
    </row>
    <row r="5" spans="1:12" x14ac:dyDescent="0.25">
      <c r="A5">
        <v>17</v>
      </c>
      <c r="B5">
        <v>1.4348000000000001</v>
      </c>
      <c r="C5">
        <f t="shared" si="0"/>
        <v>0.3610254666759905</v>
      </c>
      <c r="D5">
        <f t="shared" si="1"/>
        <v>3.7065691805323562</v>
      </c>
      <c r="E5">
        <f t="shared" si="2"/>
        <v>3.7082360037932394</v>
      </c>
      <c r="F5">
        <f t="shared" si="3"/>
        <v>-1.6668232608831879E-3</v>
      </c>
      <c r="G5" t="s">
        <v>13</v>
      </c>
      <c r="H5">
        <f>-H7/2*LN(H9)+(H1-1)*SUM(C2:C20)</f>
        <v>128.32785411991694</v>
      </c>
      <c r="J5" t="s">
        <v>78</v>
      </c>
      <c r="K5">
        <f>2*(K4-H4)</f>
        <v>3.8232500975448716</v>
      </c>
      <c r="L5" t="s">
        <v>80</v>
      </c>
    </row>
    <row r="6" spans="1:12" x14ac:dyDescent="0.25">
      <c r="A6">
        <v>25</v>
      </c>
      <c r="B6">
        <v>1.4897</v>
      </c>
      <c r="C6">
        <f t="shared" si="0"/>
        <v>0.39857475740341025</v>
      </c>
      <c r="D6">
        <f t="shared" si="1"/>
        <v>5.4636888073967436</v>
      </c>
      <c r="E6">
        <f t="shared" si="2"/>
        <v>5.3923877085088296</v>
      </c>
      <c r="F6">
        <f t="shared" si="3"/>
        <v>7.1301098887913916E-2</v>
      </c>
      <c r="J6" t="s">
        <v>79</v>
      </c>
      <c r="K6">
        <f>_xlfn.CHISQ.DIST.RT(K5,1)</f>
        <v>5.0546102437811741E-2</v>
      </c>
      <c r="L6" t="s">
        <v>81</v>
      </c>
    </row>
    <row r="7" spans="1:12" x14ac:dyDescent="0.25">
      <c r="A7">
        <v>33</v>
      </c>
      <c r="B7">
        <v>1.5286999999999999</v>
      </c>
      <c r="C7">
        <f t="shared" si="0"/>
        <v>0.42441770102485138</v>
      </c>
      <c r="D7">
        <f t="shared" si="1"/>
        <v>7.1245759275432867</v>
      </c>
      <c r="E7">
        <f t="shared" si="2"/>
        <v>7.0765394132244195</v>
      </c>
      <c r="F7">
        <f t="shared" si="3"/>
        <v>4.8036514318867241E-2</v>
      </c>
      <c r="G7" t="s">
        <v>21</v>
      </c>
      <c r="H7">
        <v>19</v>
      </c>
    </row>
    <row r="8" spans="1:12" x14ac:dyDescent="0.25">
      <c r="A8">
        <v>41</v>
      </c>
      <c r="B8">
        <v>1.5602</v>
      </c>
      <c r="C8">
        <f t="shared" si="0"/>
        <v>0.44481401817207572</v>
      </c>
      <c r="D8">
        <f t="shared" si="1"/>
        <v>8.778807351686357</v>
      </c>
      <c r="E8">
        <f t="shared" si="2"/>
        <v>8.7606911179400093</v>
      </c>
      <c r="F8">
        <f t="shared" si="3"/>
        <v>1.8116233746347632E-2</v>
      </c>
      <c r="G8" t="s">
        <v>22</v>
      </c>
      <c r="H8">
        <f>H7-3</f>
        <v>16</v>
      </c>
    </row>
    <row r="9" spans="1:12" x14ac:dyDescent="0.25">
      <c r="A9">
        <v>49</v>
      </c>
      <c r="B9">
        <v>1.5857000000000001</v>
      </c>
      <c r="C9">
        <f t="shared" si="0"/>
        <v>0.46102595021338483</v>
      </c>
      <c r="D9">
        <f t="shared" si="1"/>
        <v>10.359925624021313</v>
      </c>
      <c r="E9">
        <f t="shared" si="2"/>
        <v>10.4448428226556</v>
      </c>
      <c r="F9">
        <f t="shared" si="3"/>
        <v>-8.4917198634286706E-2</v>
      </c>
      <c r="G9" t="s">
        <v>10</v>
      </c>
      <c r="H9">
        <f>_xlfn.VAR.S(F2:F20)</f>
        <v>5.0314367433192241E-3</v>
      </c>
    </row>
    <row r="10" spans="1:12" x14ac:dyDescent="0.25">
      <c r="A10">
        <v>57</v>
      </c>
      <c r="B10">
        <v>1.6105</v>
      </c>
      <c r="C10">
        <f t="shared" si="0"/>
        <v>0.47654468978911652</v>
      </c>
      <c r="D10">
        <f t="shared" si="1"/>
        <v>12.136590702771651</v>
      </c>
      <c r="E10">
        <f t="shared" si="2"/>
        <v>12.128994527371189</v>
      </c>
      <c r="F10">
        <f t="shared" si="3"/>
        <v>7.5961754004616466E-3</v>
      </c>
    </row>
    <row r="11" spans="1:12" x14ac:dyDescent="0.25">
      <c r="A11">
        <v>65</v>
      </c>
      <c r="B11">
        <v>1.6305000000000001</v>
      </c>
      <c r="C11">
        <f t="shared" si="0"/>
        <v>0.48888671624723679</v>
      </c>
      <c r="D11">
        <f t="shared" si="1"/>
        <v>13.762649787726005</v>
      </c>
      <c r="E11">
        <f t="shared" si="2"/>
        <v>13.81314623208678</v>
      </c>
      <c r="F11">
        <f t="shared" si="3"/>
        <v>-5.0496444360774717E-2</v>
      </c>
      <c r="G11" t="s">
        <v>14</v>
      </c>
      <c r="H11" s="5">
        <f>CORREL(A2:A101,D2:D101)</f>
        <v>0.99997081678564415</v>
      </c>
    </row>
    <row r="12" spans="1:12" x14ac:dyDescent="0.25">
      <c r="A12">
        <v>73</v>
      </c>
      <c r="B12">
        <v>1.6496999999999999</v>
      </c>
      <c r="C12">
        <f t="shared" si="0"/>
        <v>0.50059345319974158</v>
      </c>
      <c r="D12">
        <f t="shared" si="1"/>
        <v>15.504268643007421</v>
      </c>
      <c r="E12">
        <f t="shared" si="2"/>
        <v>15.49729793680237</v>
      </c>
      <c r="F12">
        <f t="shared" si="3"/>
        <v>6.9707062050508029E-3</v>
      </c>
    </row>
    <row r="13" spans="1:12" x14ac:dyDescent="0.25">
      <c r="A13">
        <v>81</v>
      </c>
      <c r="B13">
        <v>1.6654</v>
      </c>
      <c r="C13">
        <f t="shared" si="0"/>
        <v>0.51006533481958194</v>
      </c>
      <c r="D13">
        <f t="shared" si="1"/>
        <v>17.072321346979891</v>
      </c>
      <c r="E13">
        <f t="shared" si="2"/>
        <v>17.181449641517958</v>
      </c>
      <c r="F13">
        <f t="shared" si="3"/>
        <v>-0.10912829453806694</v>
      </c>
    </row>
    <row r="14" spans="1:12" x14ac:dyDescent="0.25">
      <c r="A14">
        <v>89</v>
      </c>
      <c r="B14">
        <v>1.6816</v>
      </c>
      <c r="C14">
        <f t="shared" si="0"/>
        <v>0.51974572114054962</v>
      </c>
      <c r="D14">
        <f t="shared" si="1"/>
        <v>18.837832903081491</v>
      </c>
      <c r="E14">
        <f t="shared" si="2"/>
        <v>18.865601346233547</v>
      </c>
      <c r="F14">
        <f t="shared" si="3"/>
        <v>-2.7768443152055511E-2</v>
      </c>
    </row>
    <row r="15" spans="1:12" x14ac:dyDescent="0.25">
      <c r="A15">
        <v>97</v>
      </c>
      <c r="B15">
        <v>1.6953</v>
      </c>
      <c r="C15">
        <f t="shared" si="0"/>
        <v>0.52785971632177031</v>
      </c>
      <c r="D15">
        <f t="shared" si="1"/>
        <v>20.456755640750938</v>
      </c>
      <c r="E15">
        <f t="shared" si="2"/>
        <v>20.549753050949143</v>
      </c>
      <c r="F15">
        <f t="shared" si="3"/>
        <v>-9.2997410198204733E-2</v>
      </c>
    </row>
    <row r="16" spans="1:12" x14ac:dyDescent="0.25">
      <c r="A16">
        <v>105</v>
      </c>
      <c r="B16">
        <v>1.7094</v>
      </c>
      <c r="C16">
        <f t="shared" si="0"/>
        <v>0.5361424317497806</v>
      </c>
      <c r="D16">
        <f t="shared" si="1"/>
        <v>22.25217495865828</v>
      </c>
      <c r="E16">
        <f t="shared" si="2"/>
        <v>22.233904755664732</v>
      </c>
      <c r="F16">
        <f t="shared" si="3"/>
        <v>1.8270202993548423E-2</v>
      </c>
    </row>
    <row r="17" spans="1:6" x14ac:dyDescent="0.25">
      <c r="A17">
        <v>113</v>
      </c>
      <c r="B17">
        <v>1.7214</v>
      </c>
      <c r="C17">
        <f t="shared" si="0"/>
        <v>0.54313791323323712</v>
      </c>
      <c r="D17">
        <f t="shared" si="1"/>
        <v>23.890181056564991</v>
      </c>
      <c r="E17">
        <f t="shared" si="2"/>
        <v>23.918056460380321</v>
      </c>
      <c r="F17">
        <f t="shared" si="3"/>
        <v>-2.7875403815329491E-2</v>
      </c>
    </row>
    <row r="18" spans="1:6" x14ac:dyDescent="0.25">
      <c r="A18">
        <v>121</v>
      </c>
      <c r="B18">
        <v>1.7335</v>
      </c>
      <c r="C18">
        <f t="shared" si="0"/>
        <v>0.55014248614294115</v>
      </c>
      <c r="D18">
        <f t="shared" si="1"/>
        <v>25.650595561508634</v>
      </c>
      <c r="E18">
        <f t="shared" si="2"/>
        <v>25.602208165095909</v>
      </c>
      <c r="F18">
        <f t="shared" si="3"/>
        <v>4.8387396412724826E-2</v>
      </c>
    </row>
    <row r="19" spans="1:6" x14ac:dyDescent="0.25">
      <c r="A19">
        <v>129</v>
      </c>
      <c r="B19">
        <v>1.7439</v>
      </c>
      <c r="C19">
        <f t="shared" si="0"/>
        <v>0.55612398439327748</v>
      </c>
      <c r="D19">
        <f t="shared" si="1"/>
        <v>27.255790456494861</v>
      </c>
      <c r="E19">
        <f t="shared" si="2"/>
        <v>27.286359869811498</v>
      </c>
      <c r="F19">
        <f t="shared" si="3"/>
        <v>-3.056941331663765E-2</v>
      </c>
    </row>
    <row r="20" spans="1:6" x14ac:dyDescent="0.25">
      <c r="A20">
        <v>137</v>
      </c>
      <c r="B20">
        <v>1.7554000000000001</v>
      </c>
      <c r="C20">
        <f t="shared" si="0"/>
        <v>0.56269675117588025</v>
      </c>
      <c r="D20">
        <f t="shared" si="1"/>
        <v>29.135284072258465</v>
      </c>
      <c r="E20">
        <f t="shared" si="2"/>
        <v>28.970511574527087</v>
      </c>
      <c r="F20">
        <f t="shared" si="3"/>
        <v>0.16477249773137714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K11" sqref="K7:L11"/>
    </sheetView>
  </sheetViews>
  <sheetFormatPr defaultRowHeight="15" x14ac:dyDescent="0.25"/>
  <cols>
    <col min="5" max="5" width="12" bestFit="1" customWidth="1"/>
    <col min="9" max="10" width="12" bestFit="1" customWidth="1"/>
    <col min="11" max="11" width="7.5703125" bestFit="1" customWidth="1"/>
  </cols>
  <sheetData>
    <row r="1" spans="1:11" x14ac:dyDescent="0.25">
      <c r="A1" t="s">
        <v>0</v>
      </c>
      <c r="B1" t="s">
        <v>1</v>
      </c>
      <c r="C1" t="s">
        <v>3</v>
      </c>
      <c r="D1" t="s">
        <v>7</v>
      </c>
      <c r="E1" t="s">
        <v>8</v>
      </c>
      <c r="F1" t="s">
        <v>6</v>
      </c>
      <c r="G1" t="s">
        <v>2</v>
      </c>
      <c r="H1">
        <v>0.19999999967459808</v>
      </c>
      <c r="J1" t="s">
        <v>71</v>
      </c>
      <c r="K1" t="s">
        <v>2</v>
      </c>
    </row>
    <row r="2" spans="1:11" x14ac:dyDescent="0.25">
      <c r="A2">
        <v>1</v>
      </c>
      <c r="B2">
        <f>A2^5</f>
        <v>1</v>
      </c>
      <c r="C2">
        <f>LN(B2)</f>
        <v>0</v>
      </c>
      <c r="D2">
        <f>IF(H$1=0,C2,(B2^H$1 -1)/H$1)</f>
        <v>0</v>
      </c>
      <c r="E2">
        <f>H$3+H$2*A2</f>
        <v>3.4414632921198063E-8</v>
      </c>
      <c r="F2">
        <f>D2-E2</f>
        <v>-3.4414632921198063E-8</v>
      </c>
      <c r="G2" t="s">
        <v>5</v>
      </c>
      <c r="H2">
        <f>SLOPE(D2:D21,A2:A21)</f>
        <v>4.9999999818369858</v>
      </c>
      <c r="J2" t="s">
        <v>72</v>
      </c>
      <c r="K2">
        <v>0.5</v>
      </c>
    </row>
    <row r="3" spans="1:11" x14ac:dyDescent="0.25">
      <c r="A3">
        <v>2</v>
      </c>
      <c r="B3">
        <f t="shared" ref="B3:B21" si="0">A3^5</f>
        <v>32</v>
      </c>
      <c r="C3">
        <f t="shared" ref="C3:C21" si="1">LN(B3)</f>
        <v>3.4657359027997265</v>
      </c>
      <c r="D3">
        <f>IF(H$1=0,C3,(B3^H$1 -1)/H$1)</f>
        <v>4.9999999968574764</v>
      </c>
      <c r="E3">
        <f t="shared" ref="E3:E21" si="2">H$3+H$2*A3</f>
        <v>5.0000000162516187</v>
      </c>
      <c r="F3">
        <f t="shared" ref="F3:F21" si="3">D3-E3</f>
        <v>-1.9394142292128436E-8</v>
      </c>
      <c r="G3" t="s">
        <v>4</v>
      </c>
      <c r="H3">
        <f>AVERAGE(D2:D21)-H2*AVERAGE(A2:A21)</f>
        <v>-4.9999999474223529</v>
      </c>
      <c r="J3" t="s">
        <v>73</v>
      </c>
      <c r="K3">
        <v>0.33333000000000002</v>
      </c>
    </row>
    <row r="4" spans="1:11" x14ac:dyDescent="0.25">
      <c r="A4">
        <v>3</v>
      </c>
      <c r="B4">
        <f t="shared" si="0"/>
        <v>243</v>
      </c>
      <c r="C4">
        <f t="shared" si="1"/>
        <v>5.4930614433405482</v>
      </c>
      <c r="D4">
        <f t="shared" ref="D4:D21" si="4">IF(H$1=0,C4,(B4^H$1 -1)/H$1)</f>
        <v>9.9999999894583045</v>
      </c>
      <c r="E4">
        <f t="shared" si="2"/>
        <v>9.9999999980886045</v>
      </c>
      <c r="F4">
        <f t="shared" si="3"/>
        <v>-8.6303000301768407E-9</v>
      </c>
      <c r="J4" t="s">
        <v>74</v>
      </c>
      <c r="K4">
        <v>0.25</v>
      </c>
    </row>
    <row r="5" spans="1:11" x14ac:dyDescent="0.25">
      <c r="A5">
        <v>4</v>
      </c>
      <c r="B5">
        <f t="shared" si="0"/>
        <v>1024</v>
      </c>
      <c r="C5">
        <f t="shared" si="1"/>
        <v>6.9314718055994531</v>
      </c>
      <c r="D5">
        <f t="shared" si="4"/>
        <v>14.999999979294859</v>
      </c>
      <c r="E5">
        <f t="shared" si="2"/>
        <v>14.99999997992559</v>
      </c>
      <c r="F5">
        <f t="shared" si="3"/>
        <v>-6.3073102296584693E-10</v>
      </c>
      <c r="G5" t="s">
        <v>12</v>
      </c>
      <c r="H5">
        <f>-H9/2*LN(H10)+(H1-1)*(H9/H8)*SUM(C2:C21)</f>
        <v>162.948334820898</v>
      </c>
      <c r="J5" t="s">
        <v>75</v>
      </c>
      <c r="K5">
        <v>0.2</v>
      </c>
    </row>
    <row r="6" spans="1:11" x14ac:dyDescent="0.25">
      <c r="A6">
        <v>5</v>
      </c>
      <c r="B6">
        <f t="shared" si="0"/>
        <v>3125</v>
      </c>
      <c r="C6">
        <f t="shared" si="1"/>
        <v>8.0471895621705016</v>
      </c>
      <c r="D6">
        <f t="shared" si="4"/>
        <v>19.999999967075919</v>
      </c>
      <c r="E6">
        <f t="shared" si="2"/>
        <v>19.999999961762576</v>
      </c>
      <c r="F6">
        <f t="shared" si="3"/>
        <v>5.3133426547447016E-9</v>
      </c>
      <c r="G6" t="s">
        <v>13</v>
      </c>
      <c r="H6">
        <f>-H8/2*LN(H10)+(H1-1)*SUM(C2:C21)</f>
        <v>191.70392331870346</v>
      </c>
    </row>
    <row r="7" spans="1:11" x14ac:dyDescent="0.25">
      <c r="A7">
        <v>6</v>
      </c>
      <c r="B7">
        <f t="shared" si="0"/>
        <v>7776</v>
      </c>
      <c r="C7">
        <f t="shared" si="1"/>
        <v>8.9587973461402743</v>
      </c>
      <c r="D7">
        <f t="shared" si="4"/>
        <v>24.999999953218943</v>
      </c>
      <c r="E7">
        <f t="shared" si="2"/>
        <v>24.999999943599562</v>
      </c>
      <c r="F7">
        <f t="shared" si="3"/>
        <v>9.6193808474254183E-9</v>
      </c>
    </row>
    <row r="8" spans="1:11" x14ac:dyDescent="0.25">
      <c r="A8">
        <v>7</v>
      </c>
      <c r="B8">
        <f t="shared" si="0"/>
        <v>16807</v>
      </c>
      <c r="C8">
        <f t="shared" si="1"/>
        <v>9.7295507452765673</v>
      </c>
      <c r="D8">
        <f t="shared" si="4"/>
        <v>29.999999937999785</v>
      </c>
      <c r="E8">
        <f t="shared" si="2"/>
        <v>29.999999925436548</v>
      </c>
      <c r="F8">
        <f t="shared" si="3"/>
        <v>1.2563237561380447E-8</v>
      </c>
      <c r="G8" t="s">
        <v>21</v>
      </c>
      <c r="H8">
        <f>COUNT(A2:A21)</f>
        <v>20</v>
      </c>
    </row>
    <row r="9" spans="1:11" x14ac:dyDescent="0.25">
      <c r="A9">
        <v>8</v>
      </c>
      <c r="B9">
        <f t="shared" si="0"/>
        <v>32768</v>
      </c>
      <c r="C9">
        <f t="shared" si="1"/>
        <v>10.397207708399179</v>
      </c>
      <c r="D9">
        <f t="shared" si="4"/>
        <v>34.999999921614467</v>
      </c>
      <c r="E9">
        <f t="shared" si="2"/>
        <v>34.999999907273533</v>
      </c>
      <c r="F9">
        <f t="shared" si="3"/>
        <v>1.4340933773837605E-8</v>
      </c>
      <c r="G9" t="s">
        <v>22</v>
      </c>
      <c r="H9">
        <f>H8-3</f>
        <v>17</v>
      </c>
    </row>
    <row r="10" spans="1:11" x14ac:dyDescent="0.25">
      <c r="A10">
        <v>9</v>
      </c>
      <c r="B10">
        <f t="shared" si="0"/>
        <v>59049</v>
      </c>
      <c r="C10">
        <f t="shared" si="1"/>
        <v>10.986122886681096</v>
      </c>
      <c r="D10">
        <f t="shared" si="4"/>
        <v>39.999999904209638</v>
      </c>
      <c r="E10">
        <f t="shared" si="2"/>
        <v>39.999999889110519</v>
      </c>
      <c r="F10">
        <f t="shared" si="3"/>
        <v>1.509911840003042E-8</v>
      </c>
      <c r="G10" t="s">
        <v>10</v>
      </c>
      <c r="H10">
        <f>_xlfn.VAR.S(F2:F21)</f>
        <v>2.0890774662994153E-16</v>
      </c>
    </row>
    <row r="11" spans="1:11" x14ac:dyDescent="0.25">
      <c r="A11">
        <v>10</v>
      </c>
      <c r="B11">
        <f t="shared" si="0"/>
        <v>100000</v>
      </c>
      <c r="C11">
        <f t="shared" si="1"/>
        <v>11.512925464970229</v>
      </c>
      <c r="D11">
        <f t="shared" si="4"/>
        <v>44.999999885899037</v>
      </c>
      <c r="E11">
        <f t="shared" si="2"/>
        <v>44.999999870947505</v>
      </c>
      <c r="F11">
        <f t="shared" si="3"/>
        <v>1.495153156838569E-8</v>
      </c>
    </row>
    <row r="12" spans="1:11" x14ac:dyDescent="0.25">
      <c r="A12">
        <v>11</v>
      </c>
      <c r="B12">
        <f t="shared" si="0"/>
        <v>161051</v>
      </c>
      <c r="C12">
        <f t="shared" si="1"/>
        <v>11.989476363991853</v>
      </c>
      <c r="D12">
        <f t="shared" si="4"/>
        <v>49.999999866773557</v>
      </c>
      <c r="E12">
        <f t="shared" si="2"/>
        <v>49.999999852784491</v>
      </c>
      <c r="F12">
        <f t="shared" si="3"/>
        <v>1.3989065905661846E-8</v>
      </c>
      <c r="G12" t="s">
        <v>14</v>
      </c>
      <c r="H12">
        <f>CORREL(A2:A21,D2:D21)</f>
        <v>1.0000000000000002</v>
      </c>
    </row>
    <row r="13" spans="1:11" x14ac:dyDescent="0.25">
      <c r="A13">
        <v>12</v>
      </c>
      <c r="B13">
        <f t="shared" si="0"/>
        <v>248832</v>
      </c>
      <c r="C13">
        <f t="shared" si="1"/>
        <v>12.424533248940001</v>
      </c>
      <c r="D13">
        <f t="shared" si="4"/>
        <v>54.999999846907514</v>
      </c>
      <c r="E13">
        <f t="shared" si="2"/>
        <v>54.999999834621477</v>
      </c>
      <c r="F13">
        <f t="shared" si="3"/>
        <v>1.2286037076592038E-8</v>
      </c>
    </row>
    <row r="14" spans="1:11" x14ac:dyDescent="0.25">
      <c r="A14">
        <v>13</v>
      </c>
      <c r="B14">
        <f t="shared" si="0"/>
        <v>371293</v>
      </c>
      <c r="C14">
        <f t="shared" si="1"/>
        <v>12.824746787307683</v>
      </c>
      <c r="D14">
        <f t="shared" si="4"/>
        <v>59.999999826362746</v>
      </c>
      <c r="E14">
        <f t="shared" si="2"/>
        <v>59.99999981645847</v>
      </c>
      <c r="F14">
        <f t="shared" si="3"/>
        <v>9.9042765100421093E-9</v>
      </c>
    </row>
    <row r="15" spans="1:11" x14ac:dyDescent="0.25">
      <c r="A15">
        <v>14</v>
      </c>
      <c r="B15">
        <f t="shared" si="0"/>
        <v>537824</v>
      </c>
      <c r="C15">
        <f t="shared" si="1"/>
        <v>13.195286648076292</v>
      </c>
      <c r="D15">
        <f t="shared" si="4"/>
        <v>64.999999805191592</v>
      </c>
      <c r="E15">
        <f t="shared" si="2"/>
        <v>64.999999798295448</v>
      </c>
      <c r="F15">
        <f t="shared" si="3"/>
        <v>6.8961441002102219E-9</v>
      </c>
    </row>
    <row r="16" spans="1:11" x14ac:dyDescent="0.25">
      <c r="A16">
        <v>15</v>
      </c>
      <c r="B16">
        <f t="shared" si="0"/>
        <v>759375</v>
      </c>
      <c r="C16">
        <f t="shared" si="1"/>
        <v>13.540251005511051</v>
      </c>
      <c r="D16">
        <f t="shared" si="4"/>
        <v>69.999999783438909</v>
      </c>
      <c r="E16">
        <f t="shared" si="2"/>
        <v>69.999999780132427</v>
      </c>
      <c r="F16">
        <f t="shared" si="3"/>
        <v>3.3064821991501958E-9</v>
      </c>
    </row>
    <row r="17" spans="1:6" x14ac:dyDescent="0.25">
      <c r="A17">
        <v>16</v>
      </c>
      <c r="B17">
        <f t="shared" si="0"/>
        <v>1048576</v>
      </c>
      <c r="C17">
        <f t="shared" si="1"/>
        <v>13.862943611198906</v>
      </c>
      <c r="D17">
        <f t="shared" si="4"/>
        <v>74.999999761143428</v>
      </c>
      <c r="E17">
        <f t="shared" si="2"/>
        <v>74.99999976196942</v>
      </c>
      <c r="F17">
        <f t="shared" si="3"/>
        <v>-8.2599171946640126E-10</v>
      </c>
    </row>
    <row r="18" spans="1:6" x14ac:dyDescent="0.25">
      <c r="A18">
        <v>17</v>
      </c>
      <c r="B18">
        <f t="shared" si="0"/>
        <v>1419857</v>
      </c>
      <c r="C18">
        <f t="shared" si="1"/>
        <v>14.16606672028108</v>
      </c>
      <c r="D18">
        <f t="shared" si="4"/>
        <v>79.999999738339199</v>
      </c>
      <c r="E18">
        <f t="shared" si="2"/>
        <v>79.999999743806413</v>
      </c>
      <c r="F18">
        <f t="shared" si="3"/>
        <v>-5.4672142368872301E-9</v>
      </c>
    </row>
    <row r="19" spans="1:6" x14ac:dyDescent="0.25">
      <c r="A19">
        <v>18</v>
      </c>
      <c r="B19">
        <f t="shared" si="0"/>
        <v>1889568</v>
      </c>
      <c r="C19">
        <f t="shared" si="1"/>
        <v>14.451858789480823</v>
      </c>
      <c r="D19">
        <f t="shared" si="4"/>
        <v>84.999999715056205</v>
      </c>
      <c r="E19">
        <f t="shared" si="2"/>
        <v>84.999999725643391</v>
      </c>
      <c r="F19">
        <f t="shared" si="3"/>
        <v>-1.0587186238808499E-8</v>
      </c>
    </row>
    <row r="20" spans="1:6" x14ac:dyDescent="0.25">
      <c r="A20">
        <v>19</v>
      </c>
      <c r="B20">
        <f t="shared" si="0"/>
        <v>2476099</v>
      </c>
      <c r="C20">
        <f t="shared" si="1"/>
        <v>14.722194895832203</v>
      </c>
      <c r="D20">
        <f t="shared" si="4"/>
        <v>89.999999691320994</v>
      </c>
      <c r="E20">
        <f t="shared" si="2"/>
        <v>89.99999970748037</v>
      </c>
      <c r="F20">
        <f t="shared" si="3"/>
        <v>-1.6159376059476926E-8</v>
      </c>
    </row>
    <row r="21" spans="1:6" x14ac:dyDescent="0.25">
      <c r="A21">
        <v>20</v>
      </c>
      <c r="B21">
        <f t="shared" si="0"/>
        <v>3200000</v>
      </c>
      <c r="C21">
        <f t="shared" si="1"/>
        <v>14.978661367769956</v>
      </c>
      <c r="D21">
        <f t="shared" si="4"/>
        <v>94.999999667157425</v>
      </c>
      <c r="E21">
        <f t="shared" si="2"/>
        <v>94.999999689317363</v>
      </c>
      <c r="F21">
        <f t="shared" si="3"/>
        <v>-2.2159937884680403E-8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H5" sqref="H5"/>
    </sheetView>
  </sheetViews>
  <sheetFormatPr defaultRowHeight="15" x14ac:dyDescent="0.25"/>
  <cols>
    <col min="9" max="10" width="12" bestFit="1" customWidth="1"/>
    <col min="12" max="12" width="25.85546875" bestFit="1" customWidth="1"/>
  </cols>
  <sheetData>
    <row r="1" spans="1:8" x14ac:dyDescent="0.25">
      <c r="A1" t="s">
        <v>0</v>
      </c>
      <c r="B1" t="s">
        <v>1</v>
      </c>
      <c r="C1" t="s">
        <v>3</v>
      </c>
      <c r="D1" t="s">
        <v>7</v>
      </c>
      <c r="E1" t="s">
        <v>64</v>
      </c>
      <c r="F1" t="s">
        <v>6</v>
      </c>
      <c r="G1" t="s">
        <v>2</v>
      </c>
      <c r="H1">
        <v>0.3293703160039485</v>
      </c>
    </row>
    <row r="2" spans="1:8" x14ac:dyDescent="0.25">
      <c r="A2">
        <v>1</v>
      </c>
      <c r="B2">
        <f>3+2*A2+4*A2^2+5*A2^3</f>
        <v>14</v>
      </c>
      <c r="C2">
        <f>LN(B2)</f>
        <v>2.6390573296152584</v>
      </c>
      <c r="D2">
        <f>IF(H$1=0,C2,(B2^H$1 -1)/H$1)</f>
        <v>4.2051962995598569</v>
      </c>
      <c r="E2">
        <f t="shared" ref="E2:E21" si="0">H$2*A2</f>
        <v>4.9442021288188531</v>
      </c>
      <c r="F2">
        <f>D2-E2</f>
        <v>-0.73900582925899627</v>
      </c>
      <c r="G2" t="s">
        <v>5</v>
      </c>
      <c r="H2">
        <f>SLOPE(D2:D21,A2:A21)</f>
        <v>4.9442021288188531</v>
      </c>
    </row>
    <row r="3" spans="1:8" x14ac:dyDescent="0.25">
      <c r="A3">
        <v>2</v>
      </c>
      <c r="B3">
        <f t="shared" ref="B3:B21" si="1">3+2*A3+4*A3^2+5*A3^3</f>
        <v>63</v>
      </c>
      <c r="C3">
        <f t="shared" ref="C3:C21" si="2">LN(B3)</f>
        <v>4.1431347263915326</v>
      </c>
      <c r="D3">
        <f>IF(H$1=0,C3,(B3^H$1 -1)/H$1)</f>
        <v>8.8479656936619282</v>
      </c>
      <c r="E3">
        <f t="shared" si="0"/>
        <v>9.8884042576377063</v>
      </c>
      <c r="F3">
        <f t="shared" ref="F3:F21" si="3">D3-E3</f>
        <v>-1.0404385639757781</v>
      </c>
      <c r="G3" t="s">
        <v>4</v>
      </c>
      <c r="H3">
        <f>AVERAGE(D2:D21)-H2*AVERAGE(A2:A21)</f>
        <v>-0.96219833150536971</v>
      </c>
    </row>
    <row r="4" spans="1:8" x14ac:dyDescent="0.25">
      <c r="A4">
        <v>3</v>
      </c>
      <c r="B4">
        <f t="shared" si="1"/>
        <v>180</v>
      </c>
      <c r="C4">
        <f t="shared" si="2"/>
        <v>5.1929568508902104</v>
      </c>
      <c r="D4">
        <f t="shared" ref="D4:D21" si="4">IF(H$1=0,C4,(B4^H$1 -1)/H$1)</f>
        <v>13.757177198085266</v>
      </c>
      <c r="E4">
        <f t="shared" si="0"/>
        <v>14.832606386456559</v>
      </c>
      <c r="F4">
        <f t="shared" si="3"/>
        <v>-1.0754291883712934</v>
      </c>
    </row>
    <row r="5" spans="1:8" x14ac:dyDescent="0.25">
      <c r="A5">
        <v>4</v>
      </c>
      <c r="B5">
        <f t="shared" si="1"/>
        <v>395</v>
      </c>
      <c r="C5">
        <f t="shared" si="2"/>
        <v>5.978885764901122</v>
      </c>
      <c r="D5">
        <f t="shared" si="4"/>
        <v>18.718826641724096</v>
      </c>
      <c r="E5">
        <f t="shared" si="0"/>
        <v>19.776808515275413</v>
      </c>
      <c r="F5">
        <f t="shared" si="3"/>
        <v>-1.0579818735513165</v>
      </c>
      <c r="G5" t="s">
        <v>12</v>
      </c>
      <c r="H5">
        <f>-H9/2*LN(H10)+(H1-1)*(H9/H8)*SUM(C2:C21)</f>
        <v>-48.142811596002851</v>
      </c>
    </row>
    <row r="6" spans="1:8" x14ac:dyDescent="0.25">
      <c r="A6">
        <v>5</v>
      </c>
      <c r="B6">
        <f t="shared" si="1"/>
        <v>738</v>
      </c>
      <c r="C6">
        <f t="shared" si="2"/>
        <v>6.6039438246004725</v>
      </c>
      <c r="D6">
        <f t="shared" si="4"/>
        <v>23.692009001027113</v>
      </c>
      <c r="E6">
        <f t="shared" si="0"/>
        <v>24.721010644094264</v>
      </c>
      <c r="F6">
        <f t="shared" si="3"/>
        <v>-1.0290016430671507</v>
      </c>
      <c r="G6" t="s">
        <v>13</v>
      </c>
      <c r="H6">
        <f>-H8/2*LN(H10)+(H1-1)*SUM(C2:C21)</f>
        <v>-56.638601877650402</v>
      </c>
    </row>
    <row r="7" spans="1:8" x14ac:dyDescent="0.25">
      <c r="A7">
        <v>6</v>
      </c>
      <c r="B7">
        <f t="shared" si="1"/>
        <v>1239</v>
      </c>
      <c r="C7">
        <f t="shared" si="2"/>
        <v>7.1220598816291423</v>
      </c>
      <c r="D7">
        <f t="shared" si="4"/>
        <v>28.665520864790718</v>
      </c>
      <c r="E7">
        <f t="shared" si="0"/>
        <v>29.665212772913119</v>
      </c>
      <c r="F7">
        <f t="shared" si="3"/>
        <v>-0.99969190812240072</v>
      </c>
    </row>
    <row r="8" spans="1:8" x14ac:dyDescent="0.25">
      <c r="A8">
        <v>7</v>
      </c>
      <c r="B8">
        <f t="shared" si="1"/>
        <v>1928</v>
      </c>
      <c r="C8">
        <f t="shared" si="2"/>
        <v>7.564238475170491</v>
      </c>
      <c r="D8">
        <f t="shared" si="4"/>
        <v>33.635708468547641</v>
      </c>
      <c r="E8">
        <f t="shared" si="0"/>
        <v>34.609414901731974</v>
      </c>
      <c r="F8">
        <f t="shared" si="3"/>
        <v>-0.97370643318433281</v>
      </c>
      <c r="G8" t="s">
        <v>21</v>
      </c>
      <c r="H8">
        <f>COUNT(A2:A21)</f>
        <v>20</v>
      </c>
    </row>
    <row r="9" spans="1:8" x14ac:dyDescent="0.25">
      <c r="A9">
        <v>8</v>
      </c>
      <c r="B9">
        <f t="shared" si="1"/>
        <v>2835</v>
      </c>
      <c r="C9">
        <f t="shared" si="2"/>
        <v>7.9497972161618522</v>
      </c>
      <c r="D9">
        <f t="shared" si="4"/>
        <v>38.601345333390334</v>
      </c>
      <c r="E9">
        <f t="shared" si="0"/>
        <v>39.553617030550825</v>
      </c>
      <c r="F9">
        <f t="shared" si="3"/>
        <v>-0.95227169716049076</v>
      </c>
      <c r="G9" t="s">
        <v>22</v>
      </c>
      <c r="H9">
        <f>H8-3</f>
        <v>17</v>
      </c>
    </row>
    <row r="10" spans="1:8" x14ac:dyDescent="0.25">
      <c r="A10">
        <v>9</v>
      </c>
      <c r="B10">
        <f t="shared" si="1"/>
        <v>3990</v>
      </c>
      <c r="C10">
        <f t="shared" si="2"/>
        <v>8.2915465098839096</v>
      </c>
      <c r="D10">
        <f t="shared" si="4"/>
        <v>43.562101875570413</v>
      </c>
      <c r="E10">
        <f t="shared" si="0"/>
        <v>44.497819159369676</v>
      </c>
      <c r="F10">
        <f t="shared" si="3"/>
        <v>-0.93571728379926356</v>
      </c>
      <c r="G10" t="s">
        <v>10</v>
      </c>
      <c r="H10">
        <f>_xlfn.VAR.S(F2:F21)</f>
        <v>5.3643467966655693E-3</v>
      </c>
    </row>
    <row r="11" spans="1:8" x14ac:dyDescent="0.25">
      <c r="A11">
        <v>10</v>
      </c>
      <c r="B11">
        <f t="shared" si="1"/>
        <v>5423</v>
      </c>
      <c r="C11">
        <f t="shared" si="2"/>
        <v>8.5984044468410605</v>
      </c>
      <c r="D11">
        <f t="shared" si="4"/>
        <v>48.518005172843829</v>
      </c>
      <c r="E11">
        <f t="shared" si="0"/>
        <v>49.442021288188528</v>
      </c>
      <c r="F11">
        <f t="shared" si="3"/>
        <v>-0.92401611534469907</v>
      </c>
    </row>
    <row r="12" spans="1:8" x14ac:dyDescent="0.25">
      <c r="A12">
        <v>11</v>
      </c>
      <c r="B12">
        <f t="shared" si="1"/>
        <v>7164</v>
      </c>
      <c r="C12">
        <f t="shared" si="2"/>
        <v>8.8768237631806031</v>
      </c>
      <c r="D12">
        <f t="shared" si="4"/>
        <v>53.469225706278529</v>
      </c>
      <c r="E12">
        <f t="shared" si="0"/>
        <v>54.386223417007386</v>
      </c>
      <c r="F12">
        <f t="shared" si="3"/>
        <v>-0.91699771072885738</v>
      </c>
      <c r="G12" t="s">
        <v>14</v>
      </c>
      <c r="H12">
        <f>CORREL(A2:A21,D2:D21)</f>
        <v>0.99999686509539532</v>
      </c>
    </row>
    <row r="13" spans="1:8" x14ac:dyDescent="0.25">
      <c r="A13">
        <v>12</v>
      </c>
      <c r="B13">
        <f t="shared" si="1"/>
        <v>9243</v>
      </c>
      <c r="C13">
        <f t="shared" si="2"/>
        <v>9.1316217872647769</v>
      </c>
      <c r="D13">
        <f t="shared" si="4"/>
        <v>58.415986781245337</v>
      </c>
      <c r="E13">
        <f t="shared" si="0"/>
        <v>59.330425545826238</v>
      </c>
      <c r="F13">
        <f t="shared" si="3"/>
        <v>-0.91443876458090045</v>
      </c>
    </row>
    <row r="14" spans="1:8" x14ac:dyDescent="0.25">
      <c r="A14">
        <v>13</v>
      </c>
      <c r="B14">
        <f t="shared" si="1"/>
        <v>11690</v>
      </c>
      <c r="C14">
        <f t="shared" si="2"/>
        <v>9.3664890544661148</v>
      </c>
      <c r="D14">
        <f t="shared" si="4"/>
        <v>63.358524440913925</v>
      </c>
      <c r="E14">
        <f t="shared" si="0"/>
        <v>64.274627674645089</v>
      </c>
      <c r="F14">
        <f t="shared" si="3"/>
        <v>-0.91610323373116387</v>
      </c>
    </row>
    <row r="15" spans="1:8" x14ac:dyDescent="0.25">
      <c r="A15">
        <v>14</v>
      </c>
      <c r="B15">
        <f t="shared" si="1"/>
        <v>14535</v>
      </c>
      <c r="C15">
        <f t="shared" si="2"/>
        <v>9.5843148129929769</v>
      </c>
      <c r="D15">
        <f t="shared" si="4"/>
        <v>68.297069602483191</v>
      </c>
      <c r="E15">
        <f t="shared" si="0"/>
        <v>69.218829803463947</v>
      </c>
      <c r="F15">
        <f t="shared" si="3"/>
        <v>-0.92176020098075639</v>
      </c>
    </row>
    <row r="16" spans="1:8" x14ac:dyDescent="0.25">
      <c r="A16">
        <v>15</v>
      </c>
      <c r="B16">
        <f t="shared" si="1"/>
        <v>17808</v>
      </c>
      <c r="C16">
        <f t="shared" si="2"/>
        <v>9.7874030735153266</v>
      </c>
      <c r="D16">
        <f t="shared" si="4"/>
        <v>73.231840438654629</v>
      </c>
      <c r="E16">
        <f t="shared" si="0"/>
        <v>74.163031932282792</v>
      </c>
      <c r="F16">
        <f t="shared" si="3"/>
        <v>-0.93119149362816245</v>
      </c>
    </row>
    <row r="17" spans="1:6" x14ac:dyDescent="0.25">
      <c r="A17">
        <v>16</v>
      </c>
      <c r="B17">
        <f t="shared" si="1"/>
        <v>21539</v>
      </c>
      <c r="C17">
        <f t="shared" si="2"/>
        <v>9.9776205243773557</v>
      </c>
      <c r="D17">
        <f t="shared" si="4"/>
        <v>78.163039613041576</v>
      </c>
      <c r="E17">
        <f t="shared" si="0"/>
        <v>79.10723406110165</v>
      </c>
      <c r="F17">
        <f t="shared" si="3"/>
        <v>-0.94419444806007391</v>
      </c>
    </row>
    <row r="18" spans="1:6" x14ac:dyDescent="0.25">
      <c r="A18">
        <v>17</v>
      </c>
      <c r="B18">
        <f t="shared" si="1"/>
        <v>25758</v>
      </c>
      <c r="C18">
        <f t="shared" si="2"/>
        <v>10.156500537452615</v>
      </c>
      <c r="D18">
        <f t="shared" si="4"/>
        <v>83.090853828955119</v>
      </c>
      <c r="E18">
        <f t="shared" si="0"/>
        <v>84.051436189920508</v>
      </c>
      <c r="F18">
        <f t="shared" si="3"/>
        <v>-0.96058236096538963</v>
      </c>
    </row>
    <row r="19" spans="1:6" x14ac:dyDescent="0.25">
      <c r="A19">
        <v>18</v>
      </c>
      <c r="B19">
        <f t="shared" si="1"/>
        <v>30495</v>
      </c>
      <c r="C19">
        <f t="shared" si="2"/>
        <v>10.325318014730557</v>
      </c>
      <c r="D19">
        <f t="shared" si="4"/>
        <v>88.015454454308355</v>
      </c>
      <c r="E19">
        <f t="shared" si="0"/>
        <v>88.995638318739353</v>
      </c>
      <c r="F19">
        <f t="shared" si="3"/>
        <v>-0.98018386443099814</v>
      </c>
    </row>
    <row r="20" spans="1:6" x14ac:dyDescent="0.25">
      <c r="A20">
        <v>19</v>
      </c>
      <c r="B20">
        <f t="shared" si="1"/>
        <v>35780</v>
      </c>
      <c r="C20">
        <f t="shared" si="2"/>
        <v>10.48514435706271</v>
      </c>
      <c r="D20">
        <f t="shared" si="4"/>
        <v>92.936998607788183</v>
      </c>
      <c r="E20">
        <f t="shared" si="0"/>
        <v>93.939840447558211</v>
      </c>
      <c r="F20">
        <f t="shared" si="3"/>
        <v>-1.0028418397700278</v>
      </c>
    </row>
    <row r="21" spans="1:6" x14ac:dyDescent="0.25">
      <c r="A21">
        <v>20</v>
      </c>
      <c r="B21">
        <f t="shared" si="1"/>
        <v>41643</v>
      </c>
      <c r="C21">
        <f t="shared" si="2"/>
        <v>10.636888566243218</v>
      </c>
      <c r="D21">
        <f t="shared" si="4"/>
        <v>97.855630398981788</v>
      </c>
      <c r="E21">
        <f t="shared" si="0"/>
        <v>98.884042576377055</v>
      </c>
      <c r="F21">
        <f t="shared" si="3"/>
        <v>-1.0284121773952677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Versatility</vt:lpstr>
      <vt:lpstr>MaximizeR_scaled</vt:lpstr>
      <vt:lpstr>LS_scaledNewY</vt:lpstr>
      <vt:lpstr>ML_scaledNewY</vt:lpstr>
      <vt:lpstr>Comparison</vt:lpstr>
      <vt:lpstr>InvertLRT_Reg</vt:lpstr>
      <vt:lpstr>ConfInterval</vt:lpstr>
      <vt:lpstr>y=x^3</vt:lpstr>
      <vt:lpstr>y=3+2x+4x^2+5x^3</vt:lpstr>
      <vt:lpstr>Ecoli</vt:lpstr>
      <vt:lpstr>Elephant</vt:lpstr>
      <vt:lpstr>ToxicityData</vt:lpstr>
      <vt:lpstr>Ecoli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xxia</dc:creator>
  <cp:lastModifiedBy>xxia</cp:lastModifiedBy>
  <dcterms:created xsi:type="dcterms:W3CDTF">2018-11-03T16:03:21Z</dcterms:created>
  <dcterms:modified xsi:type="dcterms:W3CDTF">2019-10-30T12:49:06Z</dcterms:modified>
</cp:coreProperties>
</file>