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xxia\Dropbox\Weekend\BIO8102L\GeneralizedLM\"/>
    </mc:Choice>
  </mc:AlternateContent>
  <bookViews>
    <workbookView xWindow="0" yWindow="0" windowWidth="18540" windowHeight="11325" firstSheet="1" activeTab="5"/>
  </bookViews>
  <sheets>
    <sheet name="Spaceship_get_a_b (2)" sheetId="17" r:id="rId1"/>
    <sheet name="Spaceship_get_a_b" sheetId="5" r:id="rId2"/>
    <sheet name="ConventionalTransformation" sheetId="2" r:id="rId3"/>
    <sheet name="GLM_Likelihood" sheetId="3" r:id="rId4"/>
    <sheet name="Maple Code" sheetId="9" r:id="rId5"/>
    <sheet name="TitanicFull" sheetId="8" r:id="rId6"/>
    <sheet name="Titanic_No_3way" sheetId="11" r:id="rId7"/>
    <sheet name="Titanic_Final" sheetId="10" r:id="rId8"/>
  </sheets>
  <definedNames>
    <definedName name="solver_adj" localSheetId="3" hidden="1">GLM_Likelihood!$H$2:$I$2</definedName>
    <definedName name="solver_adj" localSheetId="1" hidden="1">Spaceship_get_a_b!$B$26:$B$27</definedName>
    <definedName name="solver_adj" localSheetId="0" hidden="1">'Spaceship_get_a_b (2)'!$B$26:$B$27</definedName>
    <definedName name="solver_adj" localSheetId="7" hidden="1">Titanic_Final!$E$16:$O$16</definedName>
    <definedName name="solver_adj" localSheetId="6" hidden="1">Titanic_No_3way!$E$16:$P$16</definedName>
    <definedName name="solver_adj" localSheetId="5" hidden="1">TitanicFull!$K$16:$X$16</definedName>
    <definedName name="solver_cvg" localSheetId="3" hidden="1">0.0001</definedName>
    <definedName name="solver_cvg" localSheetId="1" hidden="1">0.0001</definedName>
    <definedName name="solver_cvg" localSheetId="0" hidden="1">0.0001</definedName>
    <definedName name="solver_cvg" localSheetId="7" hidden="1">0.0001</definedName>
    <definedName name="solver_cvg" localSheetId="6" hidden="1">0.0001</definedName>
    <definedName name="solver_cvg" localSheetId="5" hidden="1">0.0001</definedName>
    <definedName name="solver_drv" localSheetId="3" hidden="1">1</definedName>
    <definedName name="solver_drv" localSheetId="1" hidden="1">1</definedName>
    <definedName name="solver_drv" localSheetId="0" hidden="1">1</definedName>
    <definedName name="solver_drv" localSheetId="7" hidden="1">1</definedName>
    <definedName name="solver_drv" localSheetId="6" hidden="1">1</definedName>
    <definedName name="solver_drv" localSheetId="5" hidden="1">1</definedName>
    <definedName name="solver_eng" localSheetId="3" hidden="1">1</definedName>
    <definedName name="solver_eng" localSheetId="1" hidden="1">1</definedName>
    <definedName name="solver_eng" localSheetId="0" hidden="1">1</definedName>
    <definedName name="solver_eng" localSheetId="7" hidden="1">1</definedName>
    <definedName name="solver_eng" localSheetId="6" hidden="1">1</definedName>
    <definedName name="solver_eng" localSheetId="5" hidden="1">1</definedName>
    <definedName name="solver_est" localSheetId="3" hidden="1">1</definedName>
    <definedName name="solver_est" localSheetId="1" hidden="1">1</definedName>
    <definedName name="solver_est" localSheetId="0" hidden="1">1</definedName>
    <definedName name="solver_est" localSheetId="7" hidden="1">1</definedName>
    <definedName name="solver_est" localSheetId="6" hidden="1">1</definedName>
    <definedName name="solver_est" localSheetId="5" hidden="1">1</definedName>
    <definedName name="solver_itr" localSheetId="3" hidden="1">2147483647</definedName>
    <definedName name="solver_itr" localSheetId="1" hidden="1">2147483647</definedName>
    <definedName name="solver_itr" localSheetId="0" hidden="1">2147483647</definedName>
    <definedName name="solver_itr" localSheetId="7" hidden="1">2147483647</definedName>
    <definedName name="solver_itr" localSheetId="6" hidden="1">2147483647</definedName>
    <definedName name="solver_itr" localSheetId="5" hidden="1">2147483647</definedName>
    <definedName name="solver_mip" localSheetId="3" hidden="1">2147483647</definedName>
    <definedName name="solver_mip" localSheetId="1" hidden="1">2147483647</definedName>
    <definedName name="solver_mip" localSheetId="0" hidden="1">2147483647</definedName>
    <definedName name="solver_mip" localSheetId="7" hidden="1">2147483647</definedName>
    <definedName name="solver_mip" localSheetId="6" hidden="1">2147483647</definedName>
    <definedName name="solver_mip" localSheetId="5" hidden="1">2147483647</definedName>
    <definedName name="solver_mni" localSheetId="3" hidden="1">30</definedName>
    <definedName name="solver_mni" localSheetId="1" hidden="1">30</definedName>
    <definedName name="solver_mni" localSheetId="0" hidden="1">30</definedName>
    <definedName name="solver_mni" localSheetId="7" hidden="1">30</definedName>
    <definedName name="solver_mni" localSheetId="6" hidden="1">30</definedName>
    <definedName name="solver_mni" localSheetId="5" hidden="1">30</definedName>
    <definedName name="solver_mrt" localSheetId="3" hidden="1">0.075</definedName>
    <definedName name="solver_mrt" localSheetId="1" hidden="1">0.075</definedName>
    <definedName name="solver_mrt" localSheetId="0" hidden="1">0.075</definedName>
    <definedName name="solver_mrt" localSheetId="7" hidden="1">0.075</definedName>
    <definedName name="solver_mrt" localSheetId="6" hidden="1">0.075</definedName>
    <definedName name="solver_mrt" localSheetId="5" hidden="1">0.075</definedName>
    <definedName name="solver_msl" localSheetId="3" hidden="1">2</definedName>
    <definedName name="solver_msl" localSheetId="1" hidden="1">2</definedName>
    <definedName name="solver_msl" localSheetId="0" hidden="1">2</definedName>
    <definedName name="solver_msl" localSheetId="7" hidden="1">2</definedName>
    <definedName name="solver_msl" localSheetId="6" hidden="1">2</definedName>
    <definedName name="solver_msl" localSheetId="5" hidden="1">2</definedName>
    <definedName name="solver_neg" localSheetId="3" hidden="1">2</definedName>
    <definedName name="solver_neg" localSheetId="1" hidden="1">2</definedName>
    <definedName name="solver_neg" localSheetId="0" hidden="1">2</definedName>
    <definedName name="solver_neg" localSheetId="7" hidden="1">2</definedName>
    <definedName name="solver_neg" localSheetId="6" hidden="1">2</definedName>
    <definedName name="solver_neg" localSheetId="5" hidden="1">2</definedName>
    <definedName name="solver_nod" localSheetId="3" hidden="1">2147483647</definedName>
    <definedName name="solver_nod" localSheetId="1" hidden="1">2147483647</definedName>
    <definedName name="solver_nod" localSheetId="0" hidden="1">2147483647</definedName>
    <definedName name="solver_nod" localSheetId="7" hidden="1">2147483647</definedName>
    <definedName name="solver_nod" localSheetId="6" hidden="1">2147483647</definedName>
    <definedName name="solver_nod" localSheetId="5" hidden="1">2147483647</definedName>
    <definedName name="solver_num" localSheetId="3" hidden="1">0</definedName>
    <definedName name="solver_num" localSheetId="1" hidden="1">0</definedName>
    <definedName name="solver_num" localSheetId="0" hidden="1">0</definedName>
    <definedName name="solver_num" localSheetId="7" hidden="1">0</definedName>
    <definedName name="solver_num" localSheetId="6" hidden="1">0</definedName>
    <definedName name="solver_num" localSheetId="5" hidden="1">0</definedName>
    <definedName name="solver_nwt" localSheetId="3" hidden="1">1</definedName>
    <definedName name="solver_nwt" localSheetId="1" hidden="1">1</definedName>
    <definedName name="solver_nwt" localSheetId="0" hidden="1">1</definedName>
    <definedName name="solver_nwt" localSheetId="7" hidden="1">1</definedName>
    <definedName name="solver_nwt" localSheetId="6" hidden="1">1</definedName>
    <definedName name="solver_nwt" localSheetId="5" hidden="1">1</definedName>
    <definedName name="solver_opt" localSheetId="3" hidden="1">GLM_Likelihood!$G$7</definedName>
    <definedName name="solver_opt" localSheetId="1" hidden="1">Spaceship_get_a_b!$D$26</definedName>
    <definedName name="solver_opt" localSheetId="0" hidden="1">'Spaceship_get_a_b (2)'!$D$26</definedName>
    <definedName name="solver_opt" localSheetId="7" hidden="1">Titanic_Final!$R$16</definedName>
    <definedName name="solver_opt" localSheetId="6" hidden="1">Titanic_No_3way!$S$16</definedName>
    <definedName name="solver_opt" localSheetId="5" hidden="1">TitanicFull!$AA$16</definedName>
    <definedName name="solver_pre" localSheetId="3" hidden="1">0.000001</definedName>
    <definedName name="solver_pre" localSheetId="1" hidden="1">0.000001</definedName>
    <definedName name="solver_pre" localSheetId="0" hidden="1">0.000001</definedName>
    <definedName name="solver_pre" localSheetId="7" hidden="1">0.0000001</definedName>
    <definedName name="solver_pre" localSheetId="6" hidden="1">0.0000001</definedName>
    <definedName name="solver_pre" localSheetId="5" hidden="1">0.0000001</definedName>
    <definedName name="solver_rbv" localSheetId="3" hidden="1">1</definedName>
    <definedName name="solver_rbv" localSheetId="1" hidden="1">1</definedName>
    <definedName name="solver_rbv" localSheetId="0" hidden="1">1</definedName>
    <definedName name="solver_rbv" localSheetId="7" hidden="1">1</definedName>
    <definedName name="solver_rbv" localSheetId="6" hidden="1">1</definedName>
    <definedName name="solver_rbv" localSheetId="5" hidden="1">1</definedName>
    <definedName name="solver_rlx" localSheetId="3" hidden="1">2</definedName>
    <definedName name="solver_rlx" localSheetId="1" hidden="1">2</definedName>
    <definedName name="solver_rlx" localSheetId="0" hidden="1">2</definedName>
    <definedName name="solver_rlx" localSheetId="7" hidden="1">2</definedName>
    <definedName name="solver_rlx" localSheetId="6" hidden="1">2</definedName>
    <definedName name="solver_rlx" localSheetId="5" hidden="1">2</definedName>
    <definedName name="solver_rsd" localSheetId="3" hidden="1">0</definedName>
    <definedName name="solver_rsd" localSheetId="1" hidden="1">0</definedName>
    <definedName name="solver_rsd" localSheetId="0" hidden="1">0</definedName>
    <definedName name="solver_rsd" localSheetId="7" hidden="1">0</definedName>
    <definedName name="solver_rsd" localSheetId="6" hidden="1">0</definedName>
    <definedName name="solver_rsd" localSheetId="5" hidden="1">0</definedName>
    <definedName name="solver_scl" localSheetId="3" hidden="1">1</definedName>
    <definedName name="solver_scl" localSheetId="1" hidden="1">1</definedName>
    <definedName name="solver_scl" localSheetId="0" hidden="1">1</definedName>
    <definedName name="solver_scl" localSheetId="7" hidden="1">1</definedName>
    <definedName name="solver_scl" localSheetId="6" hidden="1">1</definedName>
    <definedName name="solver_scl" localSheetId="5" hidden="1">1</definedName>
    <definedName name="solver_sho" localSheetId="3" hidden="1">2</definedName>
    <definedName name="solver_sho" localSheetId="1" hidden="1">2</definedName>
    <definedName name="solver_sho" localSheetId="0" hidden="1">2</definedName>
    <definedName name="solver_sho" localSheetId="7" hidden="1">2</definedName>
    <definedName name="solver_sho" localSheetId="6" hidden="1">2</definedName>
    <definedName name="solver_sho" localSheetId="5" hidden="1">2</definedName>
    <definedName name="solver_ssz" localSheetId="3" hidden="1">100</definedName>
    <definedName name="solver_ssz" localSheetId="1" hidden="1">100</definedName>
    <definedName name="solver_ssz" localSheetId="0" hidden="1">100</definedName>
    <definedName name="solver_ssz" localSheetId="7" hidden="1">100</definedName>
    <definedName name="solver_ssz" localSheetId="6" hidden="1">100</definedName>
    <definedName name="solver_ssz" localSheetId="5" hidden="1">100</definedName>
    <definedName name="solver_tim" localSheetId="3" hidden="1">2147483647</definedName>
    <definedName name="solver_tim" localSheetId="1" hidden="1">2147483647</definedName>
    <definedName name="solver_tim" localSheetId="0" hidden="1">2147483647</definedName>
    <definedName name="solver_tim" localSheetId="7" hidden="1">2147483647</definedName>
    <definedName name="solver_tim" localSheetId="6" hidden="1">2147483647</definedName>
    <definedName name="solver_tim" localSheetId="5" hidden="1">2147483647</definedName>
    <definedName name="solver_tol" localSheetId="3" hidden="1">0.01</definedName>
    <definedName name="solver_tol" localSheetId="1" hidden="1">0.01</definedName>
    <definedName name="solver_tol" localSheetId="0" hidden="1">0.01</definedName>
    <definedName name="solver_tol" localSheetId="7" hidden="1">0.01</definedName>
    <definedName name="solver_tol" localSheetId="6" hidden="1">0.01</definedName>
    <definedName name="solver_tol" localSheetId="5" hidden="1">0.01</definedName>
    <definedName name="solver_typ" localSheetId="3" hidden="1">1</definedName>
    <definedName name="solver_typ" localSheetId="1" hidden="1">1</definedName>
    <definedName name="solver_typ" localSheetId="0" hidden="1">1</definedName>
    <definedName name="solver_typ" localSheetId="7" hidden="1">1</definedName>
    <definedName name="solver_typ" localSheetId="6" hidden="1">1</definedName>
    <definedName name="solver_typ" localSheetId="5" hidden="1">1</definedName>
    <definedName name="solver_val" localSheetId="3" hidden="1">0</definedName>
    <definedName name="solver_val" localSheetId="1" hidden="1">0</definedName>
    <definedName name="solver_val" localSheetId="0" hidden="1">0</definedName>
    <definedName name="solver_val" localSheetId="7" hidden="1">0</definedName>
    <definedName name="solver_val" localSheetId="6" hidden="1">0</definedName>
    <definedName name="solver_val" localSheetId="5" hidden="1">0</definedName>
    <definedName name="solver_ver" localSheetId="3" hidden="1">3</definedName>
    <definedName name="solver_ver" localSheetId="1" hidden="1">3</definedName>
    <definedName name="solver_ver" localSheetId="0" hidden="1">3</definedName>
    <definedName name="solver_ver" localSheetId="7" hidden="1">3</definedName>
    <definedName name="solver_ver" localSheetId="6" hidden="1">3</definedName>
    <definedName name="solver_ver" localSheetId="5" hidden="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7" l="1"/>
  <c r="G25" i="17" s="1"/>
  <c r="C3" i="17"/>
  <c r="C4" i="17"/>
  <c r="G4" i="17" s="1"/>
  <c r="C5" i="17"/>
  <c r="G5" i="17" s="1"/>
  <c r="C6" i="17"/>
  <c r="C7" i="17"/>
  <c r="C8" i="17"/>
  <c r="C9" i="17"/>
  <c r="C10" i="17"/>
  <c r="C11" i="17"/>
  <c r="C12" i="17"/>
  <c r="D12" i="17" s="1"/>
  <c r="C13" i="17"/>
  <c r="G13" i="17" s="1"/>
  <c r="C14" i="17"/>
  <c r="C15" i="17"/>
  <c r="C16" i="17"/>
  <c r="G16" i="17" s="1"/>
  <c r="C17" i="17"/>
  <c r="C18" i="17"/>
  <c r="C19" i="17"/>
  <c r="C20" i="17"/>
  <c r="G20" i="17" s="1"/>
  <c r="C21" i="17"/>
  <c r="G21" i="17" s="1"/>
  <c r="C22" i="17"/>
  <c r="C23" i="17"/>
  <c r="C24" i="17"/>
  <c r="B29" i="17"/>
  <c r="F20" i="17" s="1"/>
  <c r="E25" i="17"/>
  <c r="E24" i="17"/>
  <c r="G24" i="17"/>
  <c r="F23" i="17"/>
  <c r="E23" i="17"/>
  <c r="D23" i="17"/>
  <c r="E22" i="17"/>
  <c r="D22" i="17"/>
  <c r="E21" i="17"/>
  <c r="E20" i="17"/>
  <c r="E19" i="17"/>
  <c r="G19" i="17"/>
  <c r="E18" i="17"/>
  <c r="D18" i="17"/>
  <c r="E17" i="17"/>
  <c r="D17" i="17"/>
  <c r="E16" i="17"/>
  <c r="F15" i="17"/>
  <c r="E15" i="17"/>
  <c r="D15" i="17"/>
  <c r="E14" i="17"/>
  <c r="D14" i="17"/>
  <c r="E13" i="17"/>
  <c r="F12" i="17"/>
  <c r="E12" i="17"/>
  <c r="E11" i="17"/>
  <c r="D11" i="17"/>
  <c r="E10" i="17"/>
  <c r="D10" i="17"/>
  <c r="F9" i="17"/>
  <c r="E9" i="17"/>
  <c r="G9" i="17"/>
  <c r="E8" i="17"/>
  <c r="G8" i="17"/>
  <c r="F7" i="17"/>
  <c r="E7" i="17"/>
  <c r="D7" i="17"/>
  <c r="E6" i="17"/>
  <c r="D6" i="17"/>
  <c r="E5" i="17"/>
  <c r="F4" i="17"/>
  <c r="E4" i="17"/>
  <c r="E3" i="17"/>
  <c r="G3" i="17"/>
  <c r="E2" i="17"/>
  <c r="E26" i="17" s="1"/>
  <c r="C2" i="17"/>
  <c r="D2" i="17" s="1"/>
  <c r="G12" i="17" l="1"/>
  <c r="G15" i="17"/>
  <c r="G10" i="17"/>
  <c r="D9" i="17"/>
  <c r="G2" i="17"/>
  <c r="G18" i="17"/>
  <c r="D24" i="17"/>
  <c r="D4" i="17"/>
  <c r="D25" i="17"/>
  <c r="D20" i="17"/>
  <c r="G17" i="17"/>
  <c r="G7" i="17"/>
  <c r="G23" i="17"/>
  <c r="E27" i="17"/>
  <c r="F17" i="17"/>
  <c r="D19" i="17"/>
  <c r="F25" i="17"/>
  <c r="D3" i="17"/>
  <c r="F14" i="17"/>
  <c r="D16" i="17"/>
  <c r="F22" i="17"/>
  <c r="F3" i="17"/>
  <c r="G6" i="17"/>
  <c r="F11" i="17"/>
  <c r="G14" i="17"/>
  <c r="F19" i="17"/>
  <c r="G22" i="17"/>
  <c r="F8" i="17"/>
  <c r="G11" i="17"/>
  <c r="F16" i="17"/>
  <c r="F24" i="17"/>
  <c r="F6" i="17"/>
  <c r="D8" i="17"/>
  <c r="D5" i="17"/>
  <c r="D13" i="17"/>
  <c r="D21" i="17"/>
  <c r="F5" i="17"/>
  <c r="F13" i="17"/>
  <c r="F21" i="17"/>
  <c r="F2" i="17"/>
  <c r="F10" i="17"/>
  <c r="F18" i="17"/>
  <c r="D26" i="17" l="1"/>
  <c r="D27" i="17" s="1"/>
  <c r="G26" i="17"/>
  <c r="F26" i="17"/>
  <c r="D30" i="17" l="1"/>
  <c r="F30" i="17" s="1"/>
  <c r="F27" i="17"/>
  <c r="D29" i="17"/>
  <c r="F29" i="17" s="1"/>
  <c r="D31" i="17"/>
  <c r="F31" i="17" s="1"/>
  <c r="P12" i="3"/>
  <c r="P13" i="3"/>
  <c r="P14" i="3"/>
  <c r="P15" i="3"/>
  <c r="P11" i="3"/>
  <c r="G26" i="5"/>
  <c r="S17" i="11" l="1"/>
  <c r="P3" i="10"/>
  <c r="P4" i="10"/>
  <c r="P5" i="10"/>
  <c r="P6" i="10"/>
  <c r="P7" i="10"/>
  <c r="P8" i="10"/>
  <c r="P9" i="10"/>
  <c r="P10" i="10"/>
  <c r="P11" i="10"/>
  <c r="P12" i="10"/>
  <c r="P13" i="10"/>
  <c r="P14" i="10"/>
  <c r="P15" i="10"/>
  <c r="P2" i="10"/>
  <c r="E18" i="11"/>
  <c r="U15" i="11"/>
  <c r="T15" i="11"/>
  <c r="P15" i="11"/>
  <c r="J15" i="11"/>
  <c r="I15" i="11"/>
  <c r="L15" i="11" s="1"/>
  <c r="H15" i="11"/>
  <c r="G15" i="11"/>
  <c r="O15" i="11" s="1"/>
  <c r="F15" i="11"/>
  <c r="N15" i="11" s="1"/>
  <c r="U14" i="11"/>
  <c r="T14" i="11"/>
  <c r="P14" i="11"/>
  <c r="J14" i="11"/>
  <c r="I14" i="11"/>
  <c r="L14" i="11" s="1"/>
  <c r="H14" i="11"/>
  <c r="G14" i="11"/>
  <c r="O14" i="11" s="1"/>
  <c r="F14" i="11"/>
  <c r="N14" i="11" s="1"/>
  <c r="U13" i="11"/>
  <c r="T13" i="11"/>
  <c r="P13" i="11"/>
  <c r="J13" i="11"/>
  <c r="I13" i="11"/>
  <c r="L13" i="11" s="1"/>
  <c r="H13" i="11"/>
  <c r="G13" i="11"/>
  <c r="O13" i="11" s="1"/>
  <c r="F13" i="11"/>
  <c r="N13" i="11" s="1"/>
  <c r="U12" i="11"/>
  <c r="T12" i="11"/>
  <c r="P12" i="11"/>
  <c r="J12" i="11"/>
  <c r="I12" i="11"/>
  <c r="L12" i="11" s="1"/>
  <c r="H12" i="11"/>
  <c r="G12" i="11"/>
  <c r="O12" i="11" s="1"/>
  <c r="F12" i="11"/>
  <c r="N12" i="11" s="1"/>
  <c r="U11" i="11"/>
  <c r="T11" i="11"/>
  <c r="P11" i="11"/>
  <c r="J11" i="11"/>
  <c r="I11" i="11"/>
  <c r="L11" i="11" s="1"/>
  <c r="H11" i="11"/>
  <c r="G11" i="11"/>
  <c r="O11" i="11" s="1"/>
  <c r="F11" i="11"/>
  <c r="N11" i="11" s="1"/>
  <c r="U10" i="11"/>
  <c r="T10" i="11"/>
  <c r="P10" i="11"/>
  <c r="J10" i="11"/>
  <c r="I10" i="11"/>
  <c r="L10" i="11" s="1"/>
  <c r="H10" i="11"/>
  <c r="G10" i="11"/>
  <c r="O10" i="11" s="1"/>
  <c r="F10" i="11"/>
  <c r="N10" i="11" s="1"/>
  <c r="U9" i="11"/>
  <c r="T9" i="11"/>
  <c r="P9" i="11"/>
  <c r="J9" i="11"/>
  <c r="I9" i="11"/>
  <c r="L9" i="11" s="1"/>
  <c r="H9" i="11"/>
  <c r="G9" i="11"/>
  <c r="O9" i="11" s="1"/>
  <c r="F9" i="11"/>
  <c r="N9" i="11" s="1"/>
  <c r="U8" i="11"/>
  <c r="T8" i="11"/>
  <c r="P8" i="11"/>
  <c r="J8" i="11"/>
  <c r="I8" i="11"/>
  <c r="L8" i="11" s="1"/>
  <c r="H8" i="11"/>
  <c r="G8" i="11"/>
  <c r="O8" i="11" s="1"/>
  <c r="F8" i="11"/>
  <c r="N8" i="11" s="1"/>
  <c r="U7" i="11"/>
  <c r="T7" i="11"/>
  <c r="P7" i="11"/>
  <c r="J7" i="11"/>
  <c r="I7" i="11"/>
  <c r="L7" i="11" s="1"/>
  <c r="H7" i="11"/>
  <c r="G7" i="11"/>
  <c r="O7" i="11" s="1"/>
  <c r="F7" i="11"/>
  <c r="N7" i="11" s="1"/>
  <c r="U6" i="11"/>
  <c r="T6" i="11"/>
  <c r="P6" i="11"/>
  <c r="J6" i="11"/>
  <c r="I6" i="11"/>
  <c r="L6" i="11" s="1"/>
  <c r="H6" i="11"/>
  <c r="G6" i="11"/>
  <c r="O6" i="11" s="1"/>
  <c r="F6" i="11"/>
  <c r="N6" i="11" s="1"/>
  <c r="U5" i="11"/>
  <c r="T5" i="11"/>
  <c r="P5" i="11"/>
  <c r="J5" i="11"/>
  <c r="I5" i="11"/>
  <c r="L5" i="11" s="1"/>
  <c r="H5" i="11"/>
  <c r="G5" i="11"/>
  <c r="O5" i="11" s="1"/>
  <c r="F5" i="11"/>
  <c r="N5" i="11" s="1"/>
  <c r="U4" i="11"/>
  <c r="T4" i="11"/>
  <c r="P4" i="11"/>
  <c r="J4" i="11"/>
  <c r="I4" i="11"/>
  <c r="L4" i="11" s="1"/>
  <c r="H4" i="11"/>
  <c r="G4" i="11"/>
  <c r="O4" i="11" s="1"/>
  <c r="F4" i="11"/>
  <c r="N4" i="11" s="1"/>
  <c r="U3" i="11"/>
  <c r="T3" i="11"/>
  <c r="P3" i="11"/>
  <c r="N3" i="11"/>
  <c r="J3" i="11"/>
  <c r="I3" i="11"/>
  <c r="L3" i="11" s="1"/>
  <c r="H3" i="11"/>
  <c r="G3" i="11"/>
  <c r="O3" i="11" s="1"/>
  <c r="F3" i="11"/>
  <c r="U2" i="11"/>
  <c r="U16" i="11" s="1"/>
  <c r="U17" i="11" s="1"/>
  <c r="T2" i="11"/>
  <c r="T16" i="11" s="1"/>
  <c r="T17" i="11" s="1"/>
  <c r="P2" i="11"/>
  <c r="J2" i="11"/>
  <c r="I2" i="11"/>
  <c r="L2" i="11" s="1"/>
  <c r="H2" i="11"/>
  <c r="G2" i="11"/>
  <c r="O2" i="11" s="1"/>
  <c r="F2" i="11"/>
  <c r="N2" i="11" s="1"/>
  <c r="E18" i="10"/>
  <c r="S14" i="10" s="1"/>
  <c r="T15" i="10"/>
  <c r="J15" i="10"/>
  <c r="I15" i="10"/>
  <c r="H15" i="10"/>
  <c r="G15" i="10"/>
  <c r="O15" i="10" s="1"/>
  <c r="F15" i="10"/>
  <c r="N15" i="10" s="1"/>
  <c r="T14" i="10"/>
  <c r="J14" i="10"/>
  <c r="I14" i="10"/>
  <c r="H14" i="10"/>
  <c r="G14" i="10"/>
  <c r="F14" i="10"/>
  <c r="T13" i="10"/>
  <c r="J13" i="10"/>
  <c r="I13" i="10"/>
  <c r="H13" i="10"/>
  <c r="G13" i="10"/>
  <c r="F13" i="10"/>
  <c r="T12" i="10"/>
  <c r="J12" i="10"/>
  <c r="I12" i="10"/>
  <c r="H12" i="10"/>
  <c r="G12" i="10"/>
  <c r="F12" i="10"/>
  <c r="T11" i="10"/>
  <c r="J11" i="10"/>
  <c r="I11" i="10"/>
  <c r="H11" i="10"/>
  <c r="G11" i="10"/>
  <c r="O11" i="10" s="1"/>
  <c r="F11" i="10"/>
  <c r="T10" i="10"/>
  <c r="J10" i="10"/>
  <c r="I10" i="10"/>
  <c r="H10" i="10"/>
  <c r="G10" i="10"/>
  <c r="F10" i="10"/>
  <c r="T9" i="10"/>
  <c r="J9" i="10"/>
  <c r="I9" i="10"/>
  <c r="H9" i="10"/>
  <c r="G9" i="10"/>
  <c r="F9" i="10"/>
  <c r="T8" i="10"/>
  <c r="J8" i="10"/>
  <c r="I8" i="10"/>
  <c r="H8" i="10"/>
  <c r="G8" i="10"/>
  <c r="F8" i="10"/>
  <c r="T7" i="10"/>
  <c r="J7" i="10"/>
  <c r="I7" i="10"/>
  <c r="H7" i="10"/>
  <c r="G7" i="10"/>
  <c r="F7" i="10"/>
  <c r="N7" i="10" s="1"/>
  <c r="T6" i="10"/>
  <c r="J6" i="10"/>
  <c r="I6" i="10"/>
  <c r="H6" i="10"/>
  <c r="G6" i="10"/>
  <c r="F6" i="10"/>
  <c r="T5" i="10"/>
  <c r="J5" i="10"/>
  <c r="I5" i="10"/>
  <c r="H5" i="10"/>
  <c r="G5" i="10"/>
  <c r="F5" i="10"/>
  <c r="T4" i="10"/>
  <c r="J4" i="10"/>
  <c r="I4" i="10"/>
  <c r="H4" i="10"/>
  <c r="G4" i="10"/>
  <c r="L4" i="10" s="1"/>
  <c r="F4" i="10"/>
  <c r="T3" i="10"/>
  <c r="J3" i="10"/>
  <c r="I3" i="10"/>
  <c r="H3" i="10"/>
  <c r="G3" i="10"/>
  <c r="O3" i="10" s="1"/>
  <c r="F3" i="10"/>
  <c r="T2" i="10"/>
  <c r="J2" i="10"/>
  <c r="I2" i="10"/>
  <c r="H2" i="10"/>
  <c r="G2" i="10"/>
  <c r="F2" i="10"/>
  <c r="AC15" i="8"/>
  <c r="AC3" i="8"/>
  <c r="AC4" i="8"/>
  <c r="AC5" i="8"/>
  <c r="AC6" i="8"/>
  <c r="AC7" i="8"/>
  <c r="AC8" i="8"/>
  <c r="AC9" i="8"/>
  <c r="AC10" i="8"/>
  <c r="AC11" i="8"/>
  <c r="AC12" i="8"/>
  <c r="AC13" i="8"/>
  <c r="AC14" i="8"/>
  <c r="AC2" i="8"/>
  <c r="K18" i="8"/>
  <c r="AB3" i="8" s="1"/>
  <c r="P3" i="8"/>
  <c r="P4" i="8"/>
  <c r="P5" i="8"/>
  <c r="P6" i="8"/>
  <c r="P7" i="8"/>
  <c r="P8" i="8"/>
  <c r="P9" i="8"/>
  <c r="P10" i="8"/>
  <c r="P11" i="8"/>
  <c r="P12" i="8"/>
  <c r="P13" i="8"/>
  <c r="P14" i="8"/>
  <c r="P15" i="8"/>
  <c r="P2" i="8"/>
  <c r="L3" i="8"/>
  <c r="M3" i="8"/>
  <c r="N3" i="8"/>
  <c r="L4" i="8"/>
  <c r="M4" i="8"/>
  <c r="N4" i="8"/>
  <c r="L5" i="8"/>
  <c r="T5" i="8" s="1"/>
  <c r="M5" i="8"/>
  <c r="U5" i="8" s="1"/>
  <c r="N5" i="8"/>
  <c r="L6" i="8"/>
  <c r="M6" i="8"/>
  <c r="N6" i="8"/>
  <c r="L7" i="8"/>
  <c r="M7" i="8"/>
  <c r="N7" i="8"/>
  <c r="L8" i="8"/>
  <c r="M8" i="8"/>
  <c r="N8" i="8"/>
  <c r="L9" i="8"/>
  <c r="M9" i="8"/>
  <c r="N9" i="8"/>
  <c r="L10" i="8"/>
  <c r="M10" i="8"/>
  <c r="N10" i="8"/>
  <c r="L11" i="8"/>
  <c r="M11" i="8"/>
  <c r="N11" i="8"/>
  <c r="L12" i="8"/>
  <c r="M12" i="8"/>
  <c r="N12" i="8"/>
  <c r="L13" i="8"/>
  <c r="T13" i="8" s="1"/>
  <c r="M13" i="8"/>
  <c r="U13" i="8" s="1"/>
  <c r="N13" i="8"/>
  <c r="L14" i="8"/>
  <c r="T14" i="8" s="1"/>
  <c r="M14" i="8"/>
  <c r="N14" i="8"/>
  <c r="L15" i="8"/>
  <c r="M15" i="8"/>
  <c r="N15" i="8"/>
  <c r="N2" i="8"/>
  <c r="M2" i="8"/>
  <c r="L2" i="8"/>
  <c r="O3" i="8"/>
  <c r="O4" i="8"/>
  <c r="O5" i="8"/>
  <c r="O6" i="8"/>
  <c r="O7" i="8"/>
  <c r="O8" i="8"/>
  <c r="V8" i="8" s="1"/>
  <c r="O9" i="8"/>
  <c r="S9" i="8" s="1"/>
  <c r="O10" i="8"/>
  <c r="V10" i="8" s="1"/>
  <c r="O11" i="8"/>
  <c r="O12" i="8"/>
  <c r="O13" i="8"/>
  <c r="O14" i="8"/>
  <c r="O15" i="8"/>
  <c r="V15" i="8" s="1"/>
  <c r="O2" i="8"/>
  <c r="V2" i="8" s="1"/>
  <c r="F3" i="5"/>
  <c r="F4" i="5"/>
  <c r="F5" i="5"/>
  <c r="F6" i="5"/>
  <c r="F7" i="5"/>
  <c r="F8" i="5"/>
  <c r="F9" i="5"/>
  <c r="F10" i="5"/>
  <c r="F11" i="5"/>
  <c r="F12" i="5"/>
  <c r="F13" i="5"/>
  <c r="F14" i="5"/>
  <c r="F15" i="5"/>
  <c r="F16" i="5"/>
  <c r="F17" i="5"/>
  <c r="F18" i="5"/>
  <c r="F19" i="5"/>
  <c r="F20" i="5"/>
  <c r="F21" i="5"/>
  <c r="F22" i="5"/>
  <c r="F23" i="5"/>
  <c r="F24" i="5"/>
  <c r="F25" i="5"/>
  <c r="F2" i="5"/>
  <c r="E3" i="5"/>
  <c r="E4" i="5"/>
  <c r="E5" i="5"/>
  <c r="E6" i="5"/>
  <c r="E7" i="5"/>
  <c r="E8" i="5"/>
  <c r="E9" i="5"/>
  <c r="E10" i="5"/>
  <c r="E11" i="5"/>
  <c r="E12" i="5"/>
  <c r="E13" i="5"/>
  <c r="E14" i="5"/>
  <c r="E15" i="5"/>
  <c r="E16" i="5"/>
  <c r="E17" i="5"/>
  <c r="E18" i="5"/>
  <c r="E19" i="5"/>
  <c r="E20" i="5"/>
  <c r="E21" i="5"/>
  <c r="E22" i="5"/>
  <c r="E23" i="5"/>
  <c r="E24" i="5"/>
  <c r="E25" i="5"/>
  <c r="E2" i="5"/>
  <c r="M3" i="3"/>
  <c r="M4" i="3"/>
  <c r="M5" i="3"/>
  <c r="M6" i="3"/>
  <c r="M2" i="3"/>
  <c r="K3" i="3"/>
  <c r="K4" i="3"/>
  <c r="K5" i="3"/>
  <c r="K6" i="3"/>
  <c r="K2" i="3"/>
  <c r="O6" i="10" l="1"/>
  <c r="M15" i="10"/>
  <c r="M4" i="10"/>
  <c r="M12" i="10"/>
  <c r="N6" i="10"/>
  <c r="K13" i="10"/>
  <c r="N5" i="10"/>
  <c r="K9" i="10"/>
  <c r="N4" i="10"/>
  <c r="N8" i="10"/>
  <c r="M4" i="11"/>
  <c r="M5" i="11"/>
  <c r="M6" i="11"/>
  <c r="M7" i="11"/>
  <c r="M8" i="11"/>
  <c r="M9" i="11"/>
  <c r="M10" i="11"/>
  <c r="M11" i="11"/>
  <c r="M12" i="11"/>
  <c r="M13" i="11"/>
  <c r="M14" i="11"/>
  <c r="M15" i="11"/>
  <c r="M2" i="11"/>
  <c r="M3" i="11"/>
  <c r="Q2" i="11"/>
  <c r="R2" i="11" s="1"/>
  <c r="S2" i="11" s="1"/>
  <c r="Q3" i="11"/>
  <c r="R3" i="11" s="1"/>
  <c r="S3" i="11" s="1"/>
  <c r="Q13" i="11"/>
  <c r="R13" i="11" s="1"/>
  <c r="S13" i="11" s="1"/>
  <c r="Q8" i="11"/>
  <c r="R8" i="11" s="1"/>
  <c r="S8" i="11" s="1"/>
  <c r="K2" i="11"/>
  <c r="K3" i="11"/>
  <c r="K4" i="11"/>
  <c r="Q4" i="11" s="1"/>
  <c r="R4" i="11" s="1"/>
  <c r="S4" i="11" s="1"/>
  <c r="K5" i="11"/>
  <c r="Q5" i="11" s="1"/>
  <c r="R5" i="11" s="1"/>
  <c r="S5" i="11" s="1"/>
  <c r="K6" i="11"/>
  <c r="Q6" i="11" s="1"/>
  <c r="R6" i="11" s="1"/>
  <c r="S6" i="11" s="1"/>
  <c r="K7" i="11"/>
  <c r="Q7" i="11" s="1"/>
  <c r="R7" i="11" s="1"/>
  <c r="S7" i="11" s="1"/>
  <c r="K8" i="11"/>
  <c r="K9" i="11"/>
  <c r="Q9" i="11" s="1"/>
  <c r="R9" i="11" s="1"/>
  <c r="S9" i="11" s="1"/>
  <c r="K10" i="11"/>
  <c r="Q10" i="11" s="1"/>
  <c r="R10" i="11" s="1"/>
  <c r="S10" i="11" s="1"/>
  <c r="K11" i="11"/>
  <c r="Q11" i="11" s="1"/>
  <c r="R11" i="11" s="1"/>
  <c r="S11" i="11" s="1"/>
  <c r="K12" i="11"/>
  <c r="Q12" i="11" s="1"/>
  <c r="R12" i="11" s="1"/>
  <c r="S12" i="11" s="1"/>
  <c r="K13" i="11"/>
  <c r="K14" i="11"/>
  <c r="Q14" i="11" s="1"/>
  <c r="R14" i="11" s="1"/>
  <c r="S14" i="11" s="1"/>
  <c r="K15" i="11"/>
  <c r="Q15" i="11" s="1"/>
  <c r="R15" i="11" s="1"/>
  <c r="S15" i="11" s="1"/>
  <c r="S10" i="10"/>
  <c r="S3" i="10"/>
  <c r="S2" i="10"/>
  <c r="S11" i="10"/>
  <c r="S9" i="10"/>
  <c r="S8" i="10"/>
  <c r="S7" i="10"/>
  <c r="S6" i="10"/>
  <c r="S5" i="10"/>
  <c r="S4" i="10"/>
  <c r="S12" i="10"/>
  <c r="S13" i="10"/>
  <c r="L8" i="10"/>
  <c r="O7" i="10"/>
  <c r="M8" i="10"/>
  <c r="N3" i="10"/>
  <c r="O5" i="10"/>
  <c r="N2" i="10"/>
  <c r="N12" i="10"/>
  <c r="O13" i="10"/>
  <c r="O14" i="10"/>
  <c r="O2" i="10"/>
  <c r="N11" i="10"/>
  <c r="L12" i="10"/>
  <c r="O9" i="10"/>
  <c r="O10" i="10"/>
  <c r="M11" i="10"/>
  <c r="N9" i="10"/>
  <c r="N10" i="10"/>
  <c r="N13" i="10"/>
  <c r="N14" i="10"/>
  <c r="L7" i="10"/>
  <c r="L3" i="10"/>
  <c r="L11" i="10"/>
  <c r="M3" i="10"/>
  <c r="K4" i="10"/>
  <c r="M7" i="10"/>
  <c r="S15" i="10"/>
  <c r="K5" i="10"/>
  <c r="K8" i="10"/>
  <c r="K12" i="10"/>
  <c r="T16" i="10"/>
  <c r="T17" i="10" s="1"/>
  <c r="L5" i="10"/>
  <c r="L9" i="10"/>
  <c r="L13" i="10"/>
  <c r="K2" i="10"/>
  <c r="O4" i="10"/>
  <c r="M5" i="10"/>
  <c r="K6" i="10"/>
  <c r="O8" i="10"/>
  <c r="M9" i="10"/>
  <c r="K10" i="10"/>
  <c r="O12" i="10"/>
  <c r="M13" i="10"/>
  <c r="K14" i="10"/>
  <c r="L2" i="10"/>
  <c r="L6" i="10"/>
  <c r="L10" i="10"/>
  <c r="L14" i="10"/>
  <c r="M2" i="10"/>
  <c r="K3" i="10"/>
  <c r="M6" i="10"/>
  <c r="K7" i="10"/>
  <c r="M10" i="10"/>
  <c r="K11" i="10"/>
  <c r="M14" i="10"/>
  <c r="K15" i="10"/>
  <c r="L15" i="10"/>
  <c r="AC16" i="8"/>
  <c r="AC17" i="8" s="1"/>
  <c r="U14" i="8"/>
  <c r="U6" i="8"/>
  <c r="T2" i="8"/>
  <c r="T6" i="8"/>
  <c r="T7" i="8"/>
  <c r="U11" i="8"/>
  <c r="U3" i="8"/>
  <c r="AB10" i="8"/>
  <c r="R6" i="8"/>
  <c r="T11" i="8"/>
  <c r="T3" i="8"/>
  <c r="AB8" i="8"/>
  <c r="AB15" i="8"/>
  <c r="AB7" i="8"/>
  <c r="AB9" i="8"/>
  <c r="AB14" i="8"/>
  <c r="AB6" i="8"/>
  <c r="V11" i="8"/>
  <c r="W11" i="8" s="1"/>
  <c r="AB13" i="8"/>
  <c r="AB5" i="8"/>
  <c r="U12" i="8"/>
  <c r="U4" i="8"/>
  <c r="AB12" i="8"/>
  <c r="AB4" i="8"/>
  <c r="AB2" i="8"/>
  <c r="AB11" i="8"/>
  <c r="S12" i="8"/>
  <c r="S4" i="8"/>
  <c r="S15" i="8"/>
  <c r="S8" i="8"/>
  <c r="R7" i="8"/>
  <c r="T15" i="8"/>
  <c r="T8" i="8"/>
  <c r="T10" i="8"/>
  <c r="U2" i="8"/>
  <c r="U10" i="8"/>
  <c r="Q15" i="8"/>
  <c r="R9" i="8"/>
  <c r="U7" i="8"/>
  <c r="Q9" i="8"/>
  <c r="Q7" i="8"/>
  <c r="R14" i="8"/>
  <c r="T12" i="8"/>
  <c r="U9" i="8"/>
  <c r="T4" i="8"/>
  <c r="Q14" i="8"/>
  <c r="Q6" i="8"/>
  <c r="R13" i="8"/>
  <c r="R5" i="8"/>
  <c r="T9" i="8"/>
  <c r="Q13" i="8"/>
  <c r="Q5" i="8"/>
  <c r="S10" i="8"/>
  <c r="R12" i="8"/>
  <c r="R4" i="8"/>
  <c r="R3" i="8"/>
  <c r="R15" i="8"/>
  <c r="R8" i="8"/>
  <c r="Q12" i="8"/>
  <c r="Q4" i="8"/>
  <c r="W2" i="8"/>
  <c r="X2" i="8"/>
  <c r="W8" i="8"/>
  <c r="X8" i="8"/>
  <c r="W10" i="8"/>
  <c r="X10" i="8"/>
  <c r="W15" i="8"/>
  <c r="X15" i="8"/>
  <c r="S11" i="8"/>
  <c r="S3" i="8"/>
  <c r="Q2" i="8"/>
  <c r="R11" i="8"/>
  <c r="Q8" i="8"/>
  <c r="Q10" i="8"/>
  <c r="Q3" i="8"/>
  <c r="S2" i="8"/>
  <c r="U15" i="8"/>
  <c r="R10" i="8"/>
  <c r="R2" i="8"/>
  <c r="Q11" i="8"/>
  <c r="U8" i="8"/>
  <c r="V14" i="8"/>
  <c r="V13" i="8"/>
  <c r="V7" i="8"/>
  <c r="W7" i="8" s="1"/>
  <c r="V6" i="8"/>
  <c r="V5" i="8"/>
  <c r="S14" i="8"/>
  <c r="S13" i="8"/>
  <c r="V12" i="8"/>
  <c r="V9" i="8"/>
  <c r="W9" i="8" s="1"/>
  <c r="S7" i="8"/>
  <c r="S6" i="8"/>
  <c r="S5" i="8"/>
  <c r="V4" i="8"/>
  <c r="V3" i="8"/>
  <c r="M7" i="3"/>
  <c r="M8" i="3" s="1"/>
  <c r="K7" i="3"/>
  <c r="K8" i="3" s="1"/>
  <c r="Q13" i="10" l="1"/>
  <c r="R13" i="10" s="1"/>
  <c r="Q5" i="10"/>
  <c r="R5" i="10" s="1"/>
  <c r="Q14" i="10"/>
  <c r="R14" i="10" s="1"/>
  <c r="Q4" i="10"/>
  <c r="R4" i="10" s="1"/>
  <c r="S16" i="11"/>
  <c r="S16" i="10"/>
  <c r="S17" i="10" s="1"/>
  <c r="Q6" i="10"/>
  <c r="R6" i="10" s="1"/>
  <c r="Q2" i="10"/>
  <c r="R2" i="10" s="1"/>
  <c r="Q12" i="10"/>
  <c r="R12" i="10" s="1"/>
  <c r="Q10" i="10"/>
  <c r="R10" i="10" s="1"/>
  <c r="Q8" i="10"/>
  <c r="R8" i="10" s="1"/>
  <c r="Q15" i="10"/>
  <c r="R15" i="10" s="1"/>
  <c r="Q11" i="10"/>
  <c r="R11" i="10" s="1"/>
  <c r="Q9" i="10"/>
  <c r="R9" i="10" s="1"/>
  <c r="Q7" i="10"/>
  <c r="R7" i="10" s="1"/>
  <c r="Q3" i="10"/>
  <c r="R3" i="10" s="1"/>
  <c r="Y8" i="8"/>
  <c r="Z8" i="8" s="1"/>
  <c r="AA8" i="8" s="1"/>
  <c r="X11" i="8"/>
  <c r="Y11" i="8"/>
  <c r="Z11" i="8" s="1"/>
  <c r="AA11" i="8" s="1"/>
  <c r="AB16" i="8"/>
  <c r="AB17" i="8" s="1"/>
  <c r="Y10" i="8"/>
  <c r="Z10" i="8" s="1"/>
  <c r="AA10" i="8" s="1"/>
  <c r="Y15" i="8"/>
  <c r="Z15" i="8" s="1"/>
  <c r="AA15" i="8" s="1"/>
  <c r="Y2" i="8"/>
  <c r="Z2" i="8" s="1"/>
  <c r="AA2" i="8" s="1"/>
  <c r="X7" i="8"/>
  <c r="Y7" i="8" s="1"/>
  <c r="Z7" i="8" s="1"/>
  <c r="AA7" i="8" s="1"/>
  <c r="X6" i="8"/>
  <c r="W6" i="8"/>
  <c r="X9" i="8"/>
  <c r="Y9" i="8" s="1"/>
  <c r="Z9" i="8" s="1"/>
  <c r="AA9" i="8" s="1"/>
  <c r="X14" i="8"/>
  <c r="W14" i="8"/>
  <c r="Y14" i="8" s="1"/>
  <c r="X13" i="8"/>
  <c r="W13" i="8"/>
  <c r="W12" i="8"/>
  <c r="X12" i="8"/>
  <c r="W3" i="8"/>
  <c r="X3" i="8"/>
  <c r="W4" i="8"/>
  <c r="X4" i="8"/>
  <c r="X5" i="8"/>
  <c r="W5" i="8"/>
  <c r="K11" i="3"/>
  <c r="M11" i="3" s="1"/>
  <c r="B29" i="5"/>
  <c r="C7" i="3"/>
  <c r="R16" i="10" l="1"/>
  <c r="R17" i="10" s="1"/>
  <c r="Y4" i="8"/>
  <c r="Z4" i="8" s="1"/>
  <c r="AA4" i="8" s="1"/>
  <c r="Y3" i="8"/>
  <c r="Z3" i="8" s="1"/>
  <c r="AA3" i="8" s="1"/>
  <c r="Y5" i="8"/>
  <c r="Z5" i="8" s="1"/>
  <c r="AA5" i="8" s="1"/>
  <c r="Y13" i="8"/>
  <c r="Z13" i="8" s="1"/>
  <c r="AA13" i="8" s="1"/>
  <c r="Z14" i="8"/>
  <c r="AA14" i="8" s="1"/>
  <c r="Y12" i="8"/>
  <c r="Z12" i="8" s="1"/>
  <c r="AA12" i="8" s="1"/>
  <c r="Y6" i="8"/>
  <c r="Z6" i="8" s="1"/>
  <c r="AA6" i="8" s="1"/>
  <c r="E26" i="5"/>
  <c r="E27" i="5" s="1"/>
  <c r="C2" i="5"/>
  <c r="D2" i="5" s="1"/>
  <c r="C3" i="5"/>
  <c r="D3" i="5" s="1"/>
  <c r="C4" i="5"/>
  <c r="D4" i="5" s="1"/>
  <c r="C5" i="5"/>
  <c r="D5" i="5" s="1"/>
  <c r="C6" i="5"/>
  <c r="D6" i="5" s="1"/>
  <c r="C7" i="5"/>
  <c r="D7" i="5" s="1"/>
  <c r="C8" i="5"/>
  <c r="D8" i="5" s="1"/>
  <c r="C9" i="5"/>
  <c r="D9" i="5" s="1"/>
  <c r="C10" i="5"/>
  <c r="D10" i="5" s="1"/>
  <c r="C11" i="5"/>
  <c r="D11" i="5" s="1"/>
  <c r="C12" i="5"/>
  <c r="D12" i="5" s="1"/>
  <c r="C13" i="5"/>
  <c r="D13" i="5" s="1"/>
  <c r="C14" i="5"/>
  <c r="D14" i="5" s="1"/>
  <c r="C15" i="5"/>
  <c r="D15" i="5" s="1"/>
  <c r="C16" i="5"/>
  <c r="D16" i="5" s="1"/>
  <c r="C17" i="5"/>
  <c r="D17" i="5" s="1"/>
  <c r="C18" i="5"/>
  <c r="D18" i="5" s="1"/>
  <c r="C19" i="5"/>
  <c r="D19" i="5" s="1"/>
  <c r="C20" i="5"/>
  <c r="D20" i="5" s="1"/>
  <c r="C21" i="5"/>
  <c r="D21" i="5" s="1"/>
  <c r="C22" i="5"/>
  <c r="D22" i="5" s="1"/>
  <c r="C23" i="5"/>
  <c r="D23" i="5" s="1"/>
  <c r="C24" i="5"/>
  <c r="D24" i="5" s="1"/>
  <c r="C25" i="5"/>
  <c r="D25" i="5" s="1"/>
  <c r="AA16" i="8" l="1"/>
  <c r="AA17" i="8" s="1"/>
  <c r="G12" i="5"/>
  <c r="G25" i="5"/>
  <c r="G4" i="5"/>
  <c r="G11" i="5"/>
  <c r="G18" i="5"/>
  <c r="G2" i="5"/>
  <c r="G17" i="5"/>
  <c r="G16" i="5"/>
  <c r="G23" i="5"/>
  <c r="G7" i="5"/>
  <c r="G22" i="5"/>
  <c r="G14" i="5"/>
  <c r="G6" i="5"/>
  <c r="G20" i="5"/>
  <c r="G19" i="5"/>
  <c r="G3" i="5"/>
  <c r="D26" i="5"/>
  <c r="D27" i="5" s="1"/>
  <c r="G10" i="5"/>
  <c r="G9" i="5"/>
  <c r="G24" i="5"/>
  <c r="G8" i="5"/>
  <c r="G15" i="5"/>
  <c r="G21" i="5"/>
  <c r="G13" i="5"/>
  <c r="G5" i="5"/>
  <c r="F26" i="5"/>
  <c r="D29" i="5" l="1"/>
  <c r="F29" i="5" s="1"/>
  <c r="F27" i="5"/>
  <c r="D31" i="5"/>
  <c r="F31" i="5" s="1"/>
  <c r="D30" i="5"/>
  <c r="F30" i="5" s="1"/>
  <c r="F6" i="3"/>
  <c r="E6" i="3"/>
  <c r="F5" i="3"/>
  <c r="G5" i="3" s="1"/>
  <c r="E5" i="3"/>
  <c r="F4" i="3"/>
  <c r="E4" i="3"/>
  <c r="F3" i="3"/>
  <c r="G3" i="3" s="1"/>
  <c r="E3" i="3"/>
  <c r="F2" i="3"/>
  <c r="G2" i="3" s="1"/>
  <c r="E2" i="3"/>
  <c r="E15" i="3" l="1"/>
  <c r="R15" i="3" s="1"/>
  <c r="S15" i="3" s="1"/>
  <c r="G6" i="3"/>
  <c r="E13" i="3"/>
  <c r="R13" i="3" s="1"/>
  <c r="S13" i="3" s="1"/>
  <c r="G4" i="3"/>
  <c r="E14" i="3"/>
  <c r="R14" i="3" s="1"/>
  <c r="S14" i="3" s="1"/>
  <c r="E12" i="3"/>
  <c r="R12" i="3" s="1"/>
  <c r="S12" i="3" s="1"/>
  <c r="E11" i="3"/>
  <c r="E6" i="2"/>
  <c r="F6" i="2" s="1"/>
  <c r="E5" i="2"/>
  <c r="F5" i="2" s="1"/>
  <c r="E4" i="2"/>
  <c r="F4" i="2" s="1"/>
  <c r="E3" i="2"/>
  <c r="F3" i="2" s="1"/>
  <c r="E2" i="2"/>
  <c r="F2" i="2" s="1"/>
  <c r="F15" i="3" l="1"/>
  <c r="F13" i="3"/>
  <c r="G15" i="3"/>
  <c r="G13" i="3"/>
  <c r="G11" i="3"/>
  <c r="R11" i="3"/>
  <c r="S11" i="3" s="1"/>
  <c r="G12" i="3"/>
  <c r="F12" i="3"/>
  <c r="F11" i="3"/>
  <c r="G14" i="3"/>
  <c r="F14" i="3"/>
  <c r="L6" i="3"/>
  <c r="N6" i="3"/>
  <c r="L2" i="3"/>
  <c r="N2" i="3"/>
  <c r="N5" i="3"/>
  <c r="L5" i="3"/>
  <c r="N3" i="3"/>
  <c r="L3" i="3"/>
  <c r="N4" i="3"/>
  <c r="L4" i="3"/>
  <c r="G7" i="3"/>
  <c r="K12" i="3" l="1"/>
  <c r="M12" i="3" s="1"/>
  <c r="G8" i="3"/>
  <c r="K13" i="3"/>
  <c r="M13" i="3" s="1"/>
  <c r="N7" i="3"/>
  <c r="L7" i="3"/>
</calcChain>
</file>

<file path=xl/comments1.xml><?xml version="1.0" encoding="utf-8"?>
<comments xmlns="http://schemas.openxmlformats.org/spreadsheetml/2006/main">
  <authors>
    <author>xxia</author>
  </authors>
  <commentList>
    <comment ref="A1" authorId="0" shapeId="0">
      <text>
        <r>
          <rPr>
            <b/>
            <sz val="9"/>
            <color indexed="81"/>
            <rFont val="Tahoma"/>
            <family val="2"/>
          </rPr>
          <t>xxia:</t>
        </r>
        <r>
          <rPr>
            <sz val="9"/>
            <color indexed="81"/>
            <rFont val="Tahoma"/>
            <family val="2"/>
          </rPr>
          <t xml:space="preserve">
Data from Table 1.1 in RH Myers et al. Generalized Linear Models, 2010. Wiley.
LaunchT: Spaceship launch temperature
Failure: at least 1 O-ring failure</t>
        </r>
      </text>
    </comment>
    <comment ref="G1" authorId="0" shapeId="0">
      <text>
        <r>
          <rPr>
            <b/>
            <sz val="9"/>
            <color indexed="81"/>
            <rFont val="Tahoma"/>
            <family val="2"/>
          </rPr>
          <t>xxia:</t>
        </r>
        <r>
          <rPr>
            <sz val="9"/>
            <color indexed="81"/>
            <rFont val="Tahoma"/>
            <family val="2"/>
          </rPr>
          <t xml:space="preserve">
"Deviance Residual" in R which output "Min 1Q Median 3Q Max" by default
Because N_hit (i.e., failure) is either 1 or 0, the DevRes calculation is simplified
Note that what is inside the sqrt is the likelihood ratio 
chi-square</t>
        </r>
      </text>
    </comment>
    <comment ref="D2" authorId="0" shapeId="0">
      <text>
        <r>
          <rPr>
            <b/>
            <sz val="9"/>
            <color indexed="81"/>
            <rFont val="Tahoma"/>
            <family val="2"/>
          </rPr>
          <t>xxia:</t>
        </r>
        <r>
          <rPr>
            <sz val="9"/>
            <color indexed="81"/>
            <rFont val="Tahoma"/>
            <family val="2"/>
          </rPr>
          <t xml:space="preserve">
simply ln(C2)</t>
        </r>
      </text>
    </comment>
    <comment ref="D5" authorId="0" shapeId="0">
      <text>
        <r>
          <rPr>
            <b/>
            <sz val="9"/>
            <color indexed="81"/>
            <rFont val="Tahoma"/>
            <family val="2"/>
          </rPr>
          <t>xxia:</t>
        </r>
        <r>
          <rPr>
            <sz val="9"/>
            <color indexed="81"/>
            <rFont val="Tahoma"/>
            <family val="2"/>
          </rPr>
          <t xml:space="preserve">
simply ln(1-C5)</t>
        </r>
      </text>
    </comment>
    <comment ref="D28" authorId="0" shapeId="0">
      <text>
        <r>
          <rPr>
            <b/>
            <sz val="9"/>
            <color indexed="81"/>
            <rFont val="Tahoma"/>
            <family val="2"/>
          </rPr>
          <t>xxia:</t>
        </r>
        <r>
          <rPr>
            <sz val="9"/>
            <color indexed="81"/>
            <rFont val="Tahoma"/>
            <family val="2"/>
          </rPr>
          <t xml:space="preserve">
likelihood chi-square</t>
        </r>
      </text>
    </comment>
    <comment ref="D29" authorId="0" shapeId="0">
      <text>
        <r>
          <rPr>
            <b/>
            <sz val="9"/>
            <color indexed="81"/>
            <rFont val="Tahoma"/>
            <family val="2"/>
          </rPr>
          <t>xxia:</t>
        </r>
        <r>
          <rPr>
            <sz val="9"/>
            <color indexed="81"/>
            <rFont val="Tahoma"/>
            <family val="2"/>
          </rPr>
          <t xml:space="preserve">
"Null deviance" in R</t>
        </r>
      </text>
    </comment>
    <comment ref="D30" authorId="0" shapeId="0">
      <text>
        <r>
          <rPr>
            <b/>
            <sz val="9"/>
            <color indexed="81"/>
            <rFont val="Tahoma"/>
            <family val="2"/>
          </rPr>
          <t>xxia:</t>
        </r>
        <r>
          <rPr>
            <sz val="9"/>
            <color indexed="81"/>
            <rFont val="Tahoma"/>
            <family val="2"/>
          </rPr>
          <t xml:space="preserve">
"Residual deviance" in R</t>
        </r>
      </text>
    </comment>
  </commentList>
</comments>
</file>

<file path=xl/comments2.xml><?xml version="1.0" encoding="utf-8"?>
<comments xmlns="http://schemas.openxmlformats.org/spreadsheetml/2006/main">
  <authors>
    <author>xxia</author>
  </authors>
  <commentList>
    <comment ref="A1" authorId="0" shapeId="0">
      <text>
        <r>
          <rPr>
            <b/>
            <sz val="9"/>
            <color indexed="81"/>
            <rFont val="Tahoma"/>
            <family val="2"/>
          </rPr>
          <t>xxia:</t>
        </r>
        <r>
          <rPr>
            <sz val="9"/>
            <color indexed="81"/>
            <rFont val="Tahoma"/>
            <family val="2"/>
          </rPr>
          <t xml:space="preserve">
Data from Table 1.1 in RH Myers et al. Generalized Linear Models, 2010. Wiley.
LaunchT: Spaceship launch temperature
Failure: at least 1 O-ring failure</t>
        </r>
      </text>
    </comment>
    <comment ref="G1" authorId="0" shapeId="0">
      <text>
        <r>
          <rPr>
            <b/>
            <sz val="9"/>
            <color indexed="81"/>
            <rFont val="Tahoma"/>
            <family val="2"/>
          </rPr>
          <t>xxia:</t>
        </r>
        <r>
          <rPr>
            <sz val="9"/>
            <color indexed="81"/>
            <rFont val="Tahoma"/>
            <family val="2"/>
          </rPr>
          <t xml:space="preserve">
"Deviance Residual" in R which output "Min 1Q Median 3Q Max" by default
Because N_hit (i.e., failure) is either 1 or 0, the DevRes calculation is simplified
Note that what is inside the sqrt is the likelihood ratio 
chi-square</t>
        </r>
      </text>
    </comment>
    <comment ref="D2" authorId="0" shapeId="0">
      <text>
        <r>
          <rPr>
            <b/>
            <sz val="9"/>
            <color indexed="81"/>
            <rFont val="Tahoma"/>
            <family val="2"/>
          </rPr>
          <t>xxia:</t>
        </r>
        <r>
          <rPr>
            <sz val="9"/>
            <color indexed="81"/>
            <rFont val="Tahoma"/>
            <family val="2"/>
          </rPr>
          <t xml:space="preserve">
simply ln(C2)</t>
        </r>
      </text>
    </comment>
    <comment ref="D5" authorId="0" shapeId="0">
      <text>
        <r>
          <rPr>
            <b/>
            <sz val="9"/>
            <color indexed="81"/>
            <rFont val="Tahoma"/>
            <family val="2"/>
          </rPr>
          <t>xxia:</t>
        </r>
        <r>
          <rPr>
            <sz val="9"/>
            <color indexed="81"/>
            <rFont val="Tahoma"/>
            <family val="2"/>
          </rPr>
          <t xml:space="preserve">
simply ln(1-C5)</t>
        </r>
      </text>
    </comment>
    <comment ref="D28" authorId="0" shapeId="0">
      <text>
        <r>
          <rPr>
            <b/>
            <sz val="9"/>
            <color indexed="81"/>
            <rFont val="Tahoma"/>
            <family val="2"/>
          </rPr>
          <t>xxia:</t>
        </r>
        <r>
          <rPr>
            <sz val="9"/>
            <color indexed="81"/>
            <rFont val="Tahoma"/>
            <family val="2"/>
          </rPr>
          <t xml:space="preserve">
likelihood chi-square</t>
        </r>
      </text>
    </comment>
    <comment ref="D29" authorId="0" shapeId="0">
      <text>
        <r>
          <rPr>
            <b/>
            <sz val="9"/>
            <color indexed="81"/>
            <rFont val="Tahoma"/>
            <family val="2"/>
          </rPr>
          <t>xxia:</t>
        </r>
        <r>
          <rPr>
            <sz val="9"/>
            <color indexed="81"/>
            <rFont val="Tahoma"/>
            <family val="2"/>
          </rPr>
          <t xml:space="preserve">
"Null deviance" in R</t>
        </r>
      </text>
    </comment>
    <comment ref="D30" authorId="0" shapeId="0">
      <text>
        <r>
          <rPr>
            <b/>
            <sz val="9"/>
            <color indexed="81"/>
            <rFont val="Tahoma"/>
            <family val="2"/>
          </rPr>
          <t>xxia:</t>
        </r>
        <r>
          <rPr>
            <sz val="9"/>
            <color indexed="81"/>
            <rFont val="Tahoma"/>
            <family val="2"/>
          </rPr>
          <t xml:space="preserve">
"Residual deviance" in R</t>
        </r>
      </text>
    </comment>
  </commentList>
</comments>
</file>

<file path=xl/comments3.xml><?xml version="1.0" encoding="utf-8"?>
<comments xmlns="http://schemas.openxmlformats.org/spreadsheetml/2006/main">
  <authors>
    <author>xxia</author>
  </authors>
  <commentList>
    <comment ref="G1" authorId="0" shapeId="0">
      <text>
        <r>
          <rPr>
            <b/>
            <sz val="9"/>
            <color indexed="81"/>
            <rFont val="Tahoma"/>
            <family val="2"/>
          </rPr>
          <t>xxia:</t>
        </r>
        <r>
          <rPr>
            <sz val="9"/>
            <color indexed="81"/>
            <rFont val="Tahoma"/>
            <family val="2"/>
          </rPr>
          <t xml:space="preserve">
likelihood based binomial distribution. The constant term should be included for LRT or AIC calculation
</t>
        </r>
      </text>
    </comment>
    <comment ref="K1" authorId="0" shapeId="0">
      <text>
        <r>
          <rPr>
            <b/>
            <sz val="9"/>
            <color indexed="81"/>
            <rFont val="Tahoma"/>
            <family val="2"/>
          </rPr>
          <t>xxia:</t>
        </r>
        <r>
          <rPr>
            <sz val="9"/>
            <color indexed="81"/>
            <rFont val="Tahoma"/>
            <family val="2"/>
          </rPr>
          <t xml:space="preserve">
5 p values in column E</t>
        </r>
      </text>
    </comment>
    <comment ref="M1" authorId="0" shapeId="0">
      <text>
        <r>
          <rPr>
            <b/>
            <sz val="9"/>
            <color indexed="81"/>
            <rFont val="Tahoma"/>
            <family val="2"/>
          </rPr>
          <t>xxia:</t>
        </r>
        <r>
          <rPr>
            <sz val="9"/>
            <color indexed="81"/>
            <rFont val="Tahoma"/>
            <family val="2"/>
          </rPr>
          <t xml:space="preserve">
One p in C7</t>
        </r>
      </text>
    </comment>
    <comment ref="G7" authorId="0" shapeId="0">
      <text>
        <r>
          <rPr>
            <b/>
            <sz val="9"/>
            <color indexed="81"/>
            <rFont val="Tahoma"/>
            <family val="2"/>
          </rPr>
          <t>xxia:</t>
        </r>
        <r>
          <rPr>
            <sz val="9"/>
            <color indexed="81"/>
            <rFont val="Tahoma"/>
            <family val="2"/>
          </rPr>
          <t xml:space="preserve">
One could also use LS estimation by minimizing sum of [p - E(p)]</t>
        </r>
      </text>
    </comment>
    <comment ref="K7" authorId="0" shapeId="0">
      <text>
        <r>
          <rPr>
            <b/>
            <sz val="9"/>
            <color indexed="81"/>
            <rFont val="Tahoma"/>
            <family val="2"/>
          </rPr>
          <t>xxia:</t>
        </r>
        <r>
          <rPr>
            <sz val="9"/>
            <color indexed="81"/>
            <rFont val="Tahoma"/>
            <family val="2"/>
          </rPr>
          <t xml:space="preserve">
One could also use LS estimation by minimizing sum of [p - E(p)]</t>
        </r>
      </text>
    </comment>
    <comment ref="L7" authorId="0" shapeId="0">
      <text>
        <r>
          <rPr>
            <b/>
            <sz val="9"/>
            <color indexed="81"/>
            <rFont val="Tahoma"/>
            <family val="2"/>
          </rPr>
          <t>xxia:</t>
        </r>
        <r>
          <rPr>
            <sz val="9"/>
            <color indexed="81"/>
            <rFont val="Tahoma"/>
            <family val="2"/>
          </rPr>
          <t xml:space="preserve">
Residual deviance =2*(lnLFull - lnLglm)
</t>
        </r>
      </text>
    </comment>
    <comment ref="M7" authorId="0" shapeId="0">
      <text>
        <r>
          <rPr>
            <b/>
            <sz val="9"/>
            <color indexed="81"/>
            <rFont val="Tahoma"/>
            <family val="2"/>
          </rPr>
          <t>xxia:</t>
        </r>
        <r>
          <rPr>
            <sz val="9"/>
            <color indexed="81"/>
            <rFont val="Tahoma"/>
            <family val="2"/>
          </rPr>
          <t xml:space="preserve">
One could also use LS estimation by minimizing sum of [p - E(p)]</t>
        </r>
      </text>
    </comment>
    <comment ref="N7" authorId="0" shapeId="0">
      <text>
        <r>
          <rPr>
            <b/>
            <sz val="9"/>
            <color indexed="81"/>
            <rFont val="Tahoma"/>
            <family val="2"/>
          </rPr>
          <t>xxia:</t>
        </r>
        <r>
          <rPr>
            <sz val="9"/>
            <color indexed="81"/>
            <rFont val="Tahoma"/>
            <family val="2"/>
          </rPr>
          <t xml:space="preserve">
Null deviance = 2*(lnLFull - lnLNull)</t>
        </r>
      </text>
    </comment>
    <comment ref="G10" authorId="0" shapeId="0">
      <text>
        <r>
          <rPr>
            <b/>
            <sz val="9"/>
            <color indexed="81"/>
            <rFont val="Tahoma"/>
            <family val="2"/>
          </rPr>
          <t>xxia:</t>
        </r>
        <r>
          <rPr>
            <sz val="9"/>
            <color indexed="81"/>
            <rFont val="Tahoma"/>
            <family val="2"/>
          </rPr>
          <t xml:space="preserve">
"Deviance residual" in R</t>
        </r>
      </text>
    </comment>
    <comment ref="K10" authorId="0" shapeId="0">
      <text>
        <r>
          <rPr>
            <b/>
            <sz val="9"/>
            <color indexed="81"/>
            <rFont val="Tahoma"/>
            <family val="2"/>
          </rPr>
          <t>xxia:</t>
        </r>
        <r>
          <rPr>
            <sz val="9"/>
            <color indexed="81"/>
            <rFont val="Tahoma"/>
            <family val="2"/>
          </rPr>
          <t xml:space="preserve">
likelihood chi-square</t>
        </r>
      </text>
    </comment>
  </commentList>
</comments>
</file>

<file path=xl/sharedStrings.xml><?xml version="1.0" encoding="utf-8"?>
<sst xmlns="http://schemas.openxmlformats.org/spreadsheetml/2006/main" count="608" uniqueCount="217">
  <si>
    <t>Index</t>
  </si>
  <si>
    <t>N_still_birth, z</t>
  </si>
  <si>
    <t>N_fetuses, n</t>
  </si>
  <si>
    <t>p_stillborn</t>
  </si>
  <si>
    <t>Concentration, x</t>
  </si>
  <si>
    <t>E(p)</t>
  </si>
  <si>
    <t>lnL</t>
  </si>
  <si>
    <t>logit</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</si>
  <si>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</si>
  <si>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</si>
  <si>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</si>
  <si>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</si>
  <si>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</si>
  <si>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</si>
  <si>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</si>
  <si>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</si>
  <si>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</si>
  <si>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</si>
  <si>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</si>
  <si>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</si>
  <si>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</si>
  <si>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</si>
  <si>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</si>
  <si>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</si>
  <si>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</si>
  <si>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</si>
  <si>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</si>
  <si>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</si>
  <si>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</si>
  <si>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</si>
  <si>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</si>
  <si>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</si>
  <si>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logit = ln(p/(1-p))</t>
  </si>
  <si>
    <t>Concentration</t>
  </si>
  <si>
    <t>1. linearization of the relationship</t>
  </si>
  <si>
    <t>benefit of logit transformation:</t>
  </si>
  <si>
    <t>a</t>
  </si>
  <si>
    <t>b</t>
  </si>
  <si>
    <t>summary(fit)</t>
  </si>
  <si>
    <t>Maple code to get a, b, and their standard errors:</t>
  </si>
  <si>
    <t>z1:=15;n1:=297;c1:=0;</t>
  </si>
  <si>
    <t>z2:=17;n2:=242;c2:=62.5;</t>
  </si>
  <si>
    <t>z3:=22;n3:=312;c3:=125;</t>
  </si>
  <si>
    <t>z4:=38;n4:=299;c4:=250;</t>
  </si>
  <si>
    <t>z5:=144;n5:=285;c5:=500;</t>
  </si>
  <si>
    <t>EP1:=exp(a+b*c1)/(exp(a+b*c1)+1);</t>
  </si>
  <si>
    <t>EP2:=exp(a+b*c2)/(exp(a+b*c2)+1);</t>
  </si>
  <si>
    <t>EP3:=exp(a+b*c3)/(exp(a+b*c3)+1);</t>
  </si>
  <si>
    <t>EP4:=exp(a+b*c4)/(exp(a+b*c4)+1);</t>
  </si>
  <si>
    <t>EP5:=exp(a+b*c5)/(exp(a+b*c5)+1);</t>
  </si>
  <si>
    <t># L=EP1^z1 * (1-EP1)^(n1-z1) * ...</t>
  </si>
  <si>
    <t>lnL1:=z1*log(EP1)+(n1-z1)*log(1-EP1);</t>
  </si>
  <si>
    <t>lnL2:=z2*log(EP2)+(n2-z2)*log(1-EP2);</t>
  </si>
  <si>
    <t>lnL3:=z3*log(EP3)+(n3-z3)*log(1-EP3);</t>
  </si>
  <si>
    <t>lnL4:=z4*log(EP4)+(n4-z4)*log(1-EP4);</t>
  </si>
  <si>
    <t>lnL5:=z5*log(EP5)+(n5-z5)*log(1-EP5);</t>
  </si>
  <si>
    <t>lnL:=lnL1+lnL2+lnL3+lnL4+lnL5;</t>
  </si>
  <si>
    <t>da:=diff(lnL,a);</t>
  </si>
  <si>
    <t>db:=diff(lnL,b);</t>
  </si>
  <si>
    <t>da:=simplify(da);</t>
  </si>
  <si>
    <t>db:=simplify(db);</t>
  </si>
  <si>
    <t>with(RealDomain);</t>
  </si>
  <si>
    <t>sols:=solve({da=0,db=0},{a,b});</t>
  </si>
  <si>
    <t># To get variance (and standard error) of a and b, we need the second derivative</t>
  </si>
  <si>
    <t># For single parameter, the variance is the negative reciprocal of the 2nd derivative</t>
  </si>
  <si>
    <t># For multiple parameters, we need a matrix containging</t>
  </si>
  <si>
    <t>#   daa dab dac ...</t>
  </si>
  <si>
    <t>#   dba dbb dbc ...</t>
  </si>
  <si>
    <t>#   dca dcb dcc ...</t>
  </si>
  <si>
    <t>#   ...</t>
  </si>
  <si>
    <t># where daa, adb, etc., are defined below.</t>
  </si>
  <si>
    <t># The matrix inverse gives us the variance of a, b, ..., in the diagonal.</t>
  </si>
  <si>
    <t>daa:=diff(da,a);</t>
  </si>
  <si>
    <t>dab:=diff(da,b);</t>
  </si>
  <si>
    <t>dba:=diff(db,a);</t>
  </si>
  <si>
    <t>dbb:=diff(db,b);</t>
  </si>
  <si>
    <t>assign(sols);</t>
  </si>
  <si>
    <t>daa:=simplify(daa);</t>
  </si>
  <si>
    <t>dab:=simplify(dab);</t>
  </si>
  <si>
    <t>dba:=simplify(dba);</t>
  </si>
  <si>
    <t>dbb:=simplify(dbb);</t>
  </si>
  <si>
    <t>with(LinearAlgebra):</t>
  </si>
  <si>
    <t>MatInv:=MatrixInverse(&lt;&lt;-daa,-dab&gt;|&lt;-dba,-dbb&gt;&gt;);</t>
  </si>
  <si>
    <t>a; b; sqrt(MatInv[1,1]);sqrt(MatInv[2,2]);</t>
  </si>
  <si>
    <t>2. no constraint on values: it can be infinitely large or infinitely small</t>
  </si>
  <si>
    <t>p = exp(a+b*C)/(exp(a+b*C)+1) ---&gt; E(p)</t>
  </si>
  <si>
    <t>d_aa</t>
  </si>
  <si>
    <t>d_bb</t>
  </si>
  <si>
    <t>d_ab</t>
  </si>
  <si>
    <t>Take the matrix inverse, and we get the variance-covariance matrix, with diagonal entries being variances.</t>
  </si>
  <si>
    <t>d_ba</t>
  </si>
  <si>
    <t xml:space="preserve">  a matrix:</t>
  </si>
  <si>
    <t xml:space="preserve">  four second-order derivatives (designated as d_aa, d_ab, d_ba, d_bb) and put them into</t>
  </si>
  <si>
    <t>When we have more than one parameters, e.g., two parameters in our case, we need to take</t>
  </si>
  <si>
    <t xml:space="preserve">  derivative is the variance whose square root gives us the standard deviation. Because</t>
  </si>
  <si>
    <t xml:space="preserve">When there is only one parameter, then the negative reciprocal of the second-order </t>
  </si>
  <si>
    <t xml:space="preserve">  the partial derivatives to zero. Solving the equation gives us the parameters such as a and b</t>
  </si>
  <si>
    <t>In the likelihood framework, we obtain parameter estimation by maximizing lnL. This</t>
  </si>
  <si>
    <t>How to obtain the standard error of a and b?</t>
  </si>
  <si>
    <t xml:space="preserve">  standard error for a and b, so we cannot do a significance test.</t>
  </si>
  <si>
    <t>In the above example, we have estimated a and b, but we have not obtained the</t>
  </si>
  <si>
    <t>Now we will use R to obtain the same result</t>
  </si>
  <si>
    <t>We can use solver to maximize it, which will give us:</t>
  </si>
  <si>
    <t>Add all values under lnL is the lnL that we wish to maximize. Currently, it is -21.8909.</t>
  </si>
  <si>
    <t>log-likelihood is shown under lnL</t>
  </si>
  <si>
    <t>When Failure = 0, then the likelihood is (1-p)</t>
  </si>
  <si>
    <t>When Failure = 1, then the likelihood is simply p</t>
  </si>
  <si>
    <t>We want to find a and b that will maximize the likelihood (or log-likelihood)</t>
  </si>
  <si>
    <t>But a=8 and b=-0.1 is just my random guess.</t>
  </si>
  <si>
    <t>If we know a and b, then we can obtain p which is a function of a, b and T,</t>
  </si>
  <si>
    <t>What would be the best estimate of a and b?</t>
  </si>
  <si>
    <t>This relationship means that p = exp(a+b*T)/(1+exp(a+b*T))</t>
  </si>
  <si>
    <t>We assume that the logit, i.e., ln(p/(1-p)) = a+b*T, where T is launch temperature</t>
  </si>
  <si>
    <t>Objective: What is probability of failure (p) at a given temperature?</t>
  </si>
  <si>
    <t>2. In the past 24 launches, the failure of at least one O-ring is recorded (1: failure, 0: success)</t>
  </si>
  <si>
    <t xml:space="preserve">1. The O-ring failure depends on spaceship launch temperature </t>
  </si>
  <si>
    <t>E(P)</t>
  </si>
  <si>
    <t>Failure</t>
  </si>
  <si>
    <t>LaunchT</t>
  </si>
  <si>
    <t xml:space="preserve">This data set is obtained to characterize the relationship between </t>
  </si>
  <si>
    <t xml:space="preserve">  proportion of stillborn (p) and the concentration of a toxin (c)</t>
  </si>
  <si>
    <t xml:space="preserve">The old way is to do a logit-transformation, followed by a linear </t>
  </si>
  <si>
    <t xml:space="preserve">  regression, which is done to the right</t>
  </si>
  <si>
    <t>The generalized linear model approach is in the next sheet (GLM_Likelihood)</t>
  </si>
  <si>
    <t>&lt;-- lnL that is maximized by changing values for a and b in H2 and I2</t>
  </si>
  <si>
    <t>lnL =</t>
  </si>
  <si>
    <t xml:space="preserve">a = </t>
  </si>
  <si>
    <t>b =</t>
  </si>
  <si>
    <t>Given ln(p/(1-p)) = a+bT, we have p = exp(a+bT)/[1+exp(a+bT)]</t>
  </si>
  <si>
    <r>
      <t>This is the result of fitting the generalized linear model.</t>
    </r>
    <r>
      <rPr>
        <sz val="11"/>
        <color rgb="FFFF0000"/>
        <rFont val="Calibri"/>
        <family val="2"/>
        <scheme val="minor"/>
      </rPr>
      <t xml:space="preserve"> Calculate p when T = 30</t>
    </r>
  </si>
  <si>
    <t>summary(fit)$coefficients[,2] # get s_a and s_b</t>
  </si>
  <si>
    <t>Male</t>
  </si>
  <si>
    <t>Female</t>
  </si>
  <si>
    <t>Class</t>
  </si>
  <si>
    <t>Sex</t>
  </si>
  <si>
    <t>Age</t>
  </si>
  <si>
    <t>Survived</t>
  </si>
  <si>
    <t>Freq</t>
  </si>
  <si>
    <t>1st</t>
  </si>
  <si>
    <t>Child</t>
  </si>
  <si>
    <t>No</t>
  </si>
  <si>
    <t>2nd</t>
  </si>
  <si>
    <t>3rd</t>
  </si>
  <si>
    <t>Crew</t>
  </si>
  <si>
    <t>Adult</t>
  </si>
  <si>
    <t>Yes</t>
  </si>
  <si>
    <t>N_still_birth</t>
  </si>
  <si>
    <t>N_fetuses</t>
  </si>
  <si>
    <t>Saturated model</t>
  </si>
  <si>
    <t>X2</t>
  </si>
  <si>
    <t>Null Model</t>
  </si>
  <si>
    <t>Global p</t>
  </si>
  <si>
    <t>Ey</t>
  </si>
  <si>
    <t>Res</t>
  </si>
  <si>
    <t>resid(fit, type='response')*fit$prior.weights</t>
  </si>
  <si>
    <t>DevRes</t>
  </si>
  <si>
    <t>Read the first two columns of data into md in R</t>
  </si>
  <si>
    <t>fit &lt;- glm(Failure~LaunchT, binomial, data=md)</t>
  </si>
  <si>
    <t>global p</t>
  </si>
  <si>
    <t>Null</t>
  </si>
  <si>
    <t>Full</t>
  </si>
  <si>
    <t>Full model uses 24 p values (p = either 1 or 0): df = 24</t>
  </si>
  <si>
    <t>glm model uses 2 parameters to estimate all p values: df = 2</t>
  </si>
  <si>
    <t>Null model uses only one p value (p = 0.2917): df = 1</t>
  </si>
  <si>
    <t>full vs null: df = 24-1</t>
  </si>
  <si>
    <t>full vs glm: df = 24-2</t>
  </si>
  <si>
    <t>Full vs Null:</t>
  </si>
  <si>
    <t>Full vs glm</t>
  </si>
  <si>
    <t>G2</t>
  </si>
  <si>
    <t>p</t>
  </si>
  <si>
    <t>glm vs null</t>
  </si>
  <si>
    <t>AIC</t>
  </si>
  <si>
    <t>Full not better than null</t>
  </si>
  <si>
    <t>Full not better than glm</t>
  </si>
  <si>
    <t>glm better than null</t>
  </si>
  <si>
    <t>Full model uses p p values : df = 5</t>
  </si>
  <si>
    <t>Null model uses only one p value (p = 0.16445993): df = 1</t>
  </si>
  <si>
    <t>full vs null: df = 5-1</t>
  </si>
  <si>
    <t>full vs glm: df = 5-2</t>
  </si>
  <si>
    <t>glm vs null: df = 2-1</t>
  </si>
  <si>
    <t>Survive_No</t>
  </si>
  <si>
    <t>Survive_Yes</t>
  </si>
  <si>
    <t>C2</t>
  </si>
  <si>
    <t>C3</t>
  </si>
  <si>
    <t>a_i</t>
  </si>
  <si>
    <t>Y =</t>
  </si>
  <si>
    <t>exp(Y)/[exp(Y)+1]</t>
  </si>
  <si>
    <t>Y</t>
  </si>
  <si>
    <t>MaleChild</t>
  </si>
  <si>
    <t>C2Child</t>
  </si>
  <si>
    <t>C3Child</t>
  </si>
  <si>
    <t>Global p_survive</t>
  </si>
  <si>
    <t>a0+a1*Male+a2*C2+a3*C3+a4*Crew+a5*Age+a6*MaleC2+a7*MaleC3+a8*MaleCrew+a9*MaleChild+a10*C2Child+a11*C3Child+a12*MaleChildC2+a13*MaleChildC3</t>
  </si>
  <si>
    <t>lnL_glm</t>
  </si>
  <si>
    <t>C2Male</t>
  </si>
  <si>
    <t>C3Male</t>
  </si>
  <si>
    <t>CrewMale</t>
  </si>
  <si>
    <t>C2MaleChild</t>
  </si>
  <si>
    <t>C3MaleChild</t>
  </si>
  <si>
    <t>A full model almost always has some some factors contributing little with coefficients with a large variation emcompassing 0</t>
  </si>
  <si>
    <t>Full model has 14 p values (Survive_Yes/(Survive_Yes+Survive_No): df =14</t>
  </si>
  <si>
    <t>Null model has only one Global p value: df =1</t>
  </si>
  <si>
    <r>
      <t xml:space="preserve">glm model has 14 coefficients: df =14, </t>
    </r>
    <r>
      <rPr>
        <sz val="11"/>
        <color rgb="FFFF0000"/>
        <rFont val="Calibri"/>
        <family val="2"/>
        <scheme val="minor"/>
      </rPr>
      <t>same as the full model</t>
    </r>
  </si>
  <si>
    <t>a0+a1*Male+a2*C2+a3*C3+a4*Crew+a5*Age+a6*MaleC2+a7*MaleC3+a8*MaleCrew+a9*MaleChild+a10*C2Child+a11*C3Child</t>
  </si>
  <si>
    <t>a0+a1*Male+a2*C2+a3*C3+a4*Crew+a5*Age+a6*MaleC2+a7*MaleC3+a8*MaleCrew+a9*C2Child+a10*C3Child</t>
  </si>
  <si>
    <t>https://www.encyclopedia-titanica.org/titanic-first-class-passengers/</t>
  </si>
  <si>
    <t>Some women refused to leave without their husband</t>
  </si>
  <si>
    <t>One girl in 2nd class (Helen Loraine Allison) died with her parents who refused to leave without finding their young son Trevor, 11 months old. Trevor was with his maid Alice Cleaver and they survived. This girl seems missing in data</t>
  </si>
  <si>
    <t xml:space="preserve">  e.g., if a= 8 and b = -0.1 then expected p = 0.937 for T = 53 (the first value under E(p))</t>
  </si>
  <si>
    <t xml:space="preserve">  is achieved by taking partial derivatives with respect to the parameters and set</t>
  </si>
  <si>
    <t xml:space="preserve">  a and b are equivalent to means, the standard deviation of means is the standard error.</t>
  </si>
  <si>
    <t>See "Maple Code" sheet</t>
  </si>
  <si>
    <t>Nhit</t>
  </si>
  <si>
    <t>Nmiss</t>
  </si>
  <si>
    <t>ENhit</t>
  </si>
  <si>
    <t>Enmiss</t>
  </si>
  <si>
    <t>ln(p/(1-p)) = a + 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</si>
</sst>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i/>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4"/>
      <color rgb="FF000000"/>
      <name val="Courier New"/>
      <family val="3"/>
    </font>
    <font>
      <sz val="14"/>
      <color rgb="FFFF0000"/>
      <name val="Courier New"/>
      <family val="3"/>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s>
  <borders count="15">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0" fillId="0" borderId="0" xfId="0" applyFill="1" applyBorder="1" applyAlignment="1"/>
    <xf numFmtId="0" fontId="0" fillId="0" borderId="1" xfId="0" applyFill="1" applyBorder="1" applyAlignment="1"/>
    <xf numFmtId="0" fontId="1" fillId="0" borderId="2" xfId="0" applyFont="1" applyFill="1" applyBorder="1" applyAlignment="1">
      <alignment horizontal="center"/>
    </xf>
    <xf numFmtId="0" fontId="1" fillId="0" borderId="2" xfId="0" applyFont="1" applyFill="1" applyBorder="1" applyAlignment="1">
      <alignment horizontal="centerContinuous"/>
    </xf>
    <xf numFmtId="0" fontId="0" fillId="2" borderId="0" xfId="0" applyFill="1"/>
    <xf numFmtId="0" fontId="4" fillId="0" borderId="0" xfId="0" applyFont="1"/>
    <xf numFmtId="0" fontId="0" fillId="0" borderId="0" xfId="0" applyBorder="1"/>
    <xf numFmtId="0" fontId="0" fillId="0" borderId="3" xfId="0" applyBorder="1"/>
    <xf numFmtId="0" fontId="0" fillId="0" borderId="4" xfId="0" applyBorder="1" applyAlignment="1">
      <alignment horizontal="right"/>
    </xf>
    <xf numFmtId="0" fontId="0" fillId="0" borderId="5" xfId="0" applyBorder="1" applyAlignment="1">
      <alignment horizontal="right"/>
    </xf>
    <xf numFmtId="0" fontId="0" fillId="0" borderId="6" xfId="0" applyBorder="1"/>
    <xf numFmtId="0" fontId="0" fillId="0" borderId="7" xfId="0" applyBorder="1"/>
    <xf numFmtId="0" fontId="0" fillId="0" borderId="8" xfId="0" applyBorder="1"/>
    <xf numFmtId="0" fontId="0" fillId="0" borderId="1" xfId="0" applyBorder="1"/>
    <xf numFmtId="0" fontId="0" fillId="0" borderId="9" xfId="0" applyBorder="1"/>
    <xf numFmtId="0" fontId="0" fillId="0" borderId="10" xfId="0" applyBorder="1" applyAlignment="1">
      <alignment horizontal="right"/>
    </xf>
    <xf numFmtId="0" fontId="0" fillId="0" borderId="11" xfId="0" applyBorder="1"/>
    <xf numFmtId="0" fontId="0" fillId="0" borderId="12" xfId="0" applyBorder="1"/>
    <xf numFmtId="0" fontId="0" fillId="0" borderId="10" xfId="0" applyBorder="1"/>
    <xf numFmtId="0" fontId="0" fillId="0" borderId="13" xfId="0" applyBorder="1" applyAlignment="1">
      <alignment horizontal="right"/>
    </xf>
    <xf numFmtId="0" fontId="0" fillId="0" borderId="13" xfId="0" applyBorder="1"/>
    <xf numFmtId="0" fontId="4" fillId="0" borderId="11" xfId="0" applyFont="1" applyBorder="1"/>
    <xf numFmtId="0" fontId="0" fillId="0" borderId="11" xfId="0" applyFont="1" applyBorder="1"/>
    <xf numFmtId="0" fontId="4" fillId="0" borderId="12" xfId="0" applyFont="1" applyBorder="1"/>
    <xf numFmtId="0" fontId="0" fillId="2" borderId="13" xfId="0" applyFill="1" applyBorder="1"/>
    <xf numFmtId="0" fontId="0" fillId="3" borderId="0" xfId="0" applyFill="1"/>
    <xf numFmtId="0" fontId="0" fillId="3" borderId="13" xfId="0" applyFill="1" applyBorder="1"/>
    <xf numFmtId="0" fontId="0" fillId="4" borderId="0" xfId="0" applyFill="1"/>
    <xf numFmtId="0" fontId="0" fillId="4" borderId="13" xfId="0" applyFill="1" applyBorder="1"/>
    <xf numFmtId="0" fontId="0" fillId="5" borderId="0" xfId="0" applyFill="1"/>
    <xf numFmtId="0" fontId="0" fillId="5" borderId="13" xfId="0" applyFill="1" applyBorder="1"/>
    <xf numFmtId="0" fontId="0" fillId="0" borderId="0" xfId="0" applyBorder="1" applyAlignment="1">
      <alignment horizontal="right"/>
    </xf>
    <xf numFmtId="0" fontId="0" fillId="2" borderId="0" xfId="0" applyFill="1" applyBorder="1"/>
    <xf numFmtId="0" fontId="0" fillId="5" borderId="0" xfId="0" applyFill="1" applyBorder="1"/>
    <xf numFmtId="0" fontId="0" fillId="3" borderId="0" xfId="0" applyFill="1" applyBorder="1"/>
    <xf numFmtId="0" fontId="0" fillId="4" borderId="0" xfId="0" applyFill="1" applyBorder="1"/>
    <xf numFmtId="0" fontId="0" fillId="4" borderId="14" xfId="0" applyFill="1" applyBorder="1"/>
    <xf numFmtId="0" fontId="5" fillId="0" borderId="0" xfId="0" applyFont="1" applyAlignment="1">
      <alignment horizontal="left" vertical="center" readingOrder="1"/>
    </xf>
    <xf numFmtId="0" fontId="6" fillId="0" borderId="0" xfId="0" applyFont="1" applyAlignment="1">
      <alignment horizontal="left" vertical="center" readingOrder="1"/>
    </xf>
    <xf numFmtId="11" fontId="0" fillId="0" borderId="0" xfId="0" applyNumberFormat="1"/>
    <xf numFmtId="2" fontId="0" fillId="0" borderId="0" xfId="0" applyNumberFormat="1"/>
    <xf numFmtId="0" fontId="0" fillId="0" borderId="0" xfId="0"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'Spaceship_get_a_b (2)'!$C$1</c:f>
              <c:strCache>
                <c:ptCount val="1"/>
                <c:pt idx="0">
                  <c:v>E(P)</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'Spaceship_get_a_b (2)'!$A$2:$A$25</c:f>
              <c:numCache>
                <c:formatCode>General</c:formatCode>
                <c:ptCount val="24"/>
                <c:pt idx="0">
                  <c:v>53</c:v>
                </c:pt>
                <c:pt idx="1">
                  <c:v>56</c:v>
                </c:pt>
                <c:pt idx="2">
                  <c:v>57</c:v>
                </c:pt>
                <c:pt idx="3">
                  <c:v>63</c:v>
                </c:pt>
                <c:pt idx="4">
                  <c:v>66</c:v>
                </c:pt>
                <c:pt idx="5">
                  <c:v>67</c:v>
                </c:pt>
                <c:pt idx="6">
                  <c:v>67</c:v>
                </c:pt>
                <c:pt idx="7">
                  <c:v>67</c:v>
                </c:pt>
                <c:pt idx="8">
                  <c:v>68</c:v>
                </c:pt>
                <c:pt idx="9">
                  <c:v>69</c:v>
                </c:pt>
                <c:pt idx="10">
                  <c:v>70</c:v>
                </c:pt>
                <c:pt idx="11">
                  <c:v>70</c:v>
                </c:pt>
                <c:pt idx="12">
                  <c:v>70</c:v>
                </c:pt>
                <c:pt idx="13">
                  <c:v>70</c:v>
                </c:pt>
                <c:pt idx="14">
                  <c:v>72</c:v>
                </c:pt>
                <c:pt idx="15">
                  <c:v>73</c:v>
                </c:pt>
                <c:pt idx="16">
                  <c:v>75</c:v>
                </c:pt>
                <c:pt idx="17">
                  <c:v>75</c:v>
                </c:pt>
                <c:pt idx="18">
                  <c:v>76</c:v>
                </c:pt>
                <c:pt idx="19">
                  <c:v>76</c:v>
                </c:pt>
                <c:pt idx="20">
                  <c:v>78</c:v>
                </c:pt>
                <c:pt idx="21">
                  <c:v>79</c:v>
                </c:pt>
                <c:pt idx="22">
                  <c:v>80</c:v>
                </c:pt>
                <c:pt idx="23">
                  <c:v>81</c:v>
                </c:pt>
              </c:numCache>
            </c:numRef>
          </c:xVal>
          <c:yVal>
            <c:numRef>
              <c:f>'Spaceship_get_a_b (2)'!$C$2:$C$25</c:f>
              <c:numCache>
                <c:formatCode>General</c:formatCode>
                <c:ptCount val="24"/>
                <c:pt idx="0">
                  <c:v>0.8575834752880066</c:v>
                </c:pt>
                <c:pt idx="1">
                  <c:v>0.78268814734379466</c:v>
                </c:pt>
                <c:pt idx="2">
                  <c:v>0.75214409651424541</c:v>
                </c:pt>
                <c:pt idx="3">
                  <c:v>0.52052776058936134</c:v>
                </c:pt>
                <c:pt idx="4">
                  <c:v>0.39369555062101713</c:v>
                </c:pt>
                <c:pt idx="5">
                  <c:v>0.35362909600366749</c:v>
                </c:pt>
                <c:pt idx="6">
                  <c:v>0.35362909600366749</c:v>
                </c:pt>
                <c:pt idx="7">
                  <c:v>0.35362909600366749</c:v>
                </c:pt>
                <c:pt idx="8">
                  <c:v>0.31551826080972922</c:v>
                </c:pt>
                <c:pt idx="9">
                  <c:v>0.27973712357991248</c:v>
                </c:pt>
                <c:pt idx="10">
                  <c:v>0.24655211516653328</c:v>
                </c:pt>
                <c:pt idx="11">
                  <c:v>0.24655211516653328</c:v>
                </c:pt>
                <c:pt idx="12">
                  <c:v>0.24655211516653328</c:v>
                </c:pt>
                <c:pt idx="13">
                  <c:v>0.24655211516653328</c:v>
                </c:pt>
                <c:pt idx="14">
                  <c:v>0.18850900505043144</c:v>
                </c:pt>
                <c:pt idx="15">
                  <c:v>0.16368684105268227</c:v>
                </c:pt>
                <c:pt idx="16">
                  <c:v>0.12199319381973596</c:v>
                </c:pt>
                <c:pt idx="17">
                  <c:v>0.12199319381973596</c:v>
                </c:pt>
                <c:pt idx="18">
                  <c:v>0.10479847719515695</c:v>
                </c:pt>
                <c:pt idx="19">
                  <c:v>0.10479847719515695</c:v>
                </c:pt>
                <c:pt idx="20">
                  <c:v>7.6728461364681311E-2</c:v>
                </c:pt>
                <c:pt idx="21">
                  <c:v>6.543822294252602E-2</c:v>
                </c:pt>
                <c:pt idx="22">
                  <c:v>5.5709049766588803E-2</c:v>
                </c:pt>
                <c:pt idx="23">
                  <c:v>4.7353090333687869E-2</c:v>
                </c:pt>
              </c:numCache>
            </c:numRef>
          </c:yVal>
          <c:smooth val="1"/>
          <c:extLst>
            <c:ext xmlns:c16="http://schemas.microsoft.com/office/drawing/2014/chart" uri="{C3380CC4-5D6E-409C-BE32-E72D297353CC}">
              <c16:uniqueId val="{00000000-919D-4494-BF9B-66C1CB3501E3}"/>
            </c:ext>
          </c:extLst>
        </c:ser>
        <c:dLbls>
          <c:showLegendKey val="0"/>
          <c:showVal val="0"/>
          <c:showCatName val="0"/>
          <c:showSerName val="0"/>
          <c:showPercent val="0"/>
          <c:showBubbleSize val="0"/>
        </c:dLbls>
        <c:axId val="608106744"/>
        <c:axId val="608106352"/>
      </c:scatterChart>
      <c:valAx>
        <c:axId val="608106744"/>
        <c:scaling>
          <c:orientation val="minMax"/>
          <c:max val="82"/>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106352"/>
        <c:crosses val="autoZero"/>
        <c:crossBetween val="midCat"/>
      </c:valAx>
      <c:valAx>
        <c:axId val="608106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1067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Spaceship_get_a_b!$C$1</c:f>
              <c:strCache>
                <c:ptCount val="1"/>
                <c:pt idx="0">
                  <c:v>E(P)</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Spaceship_get_a_b!$A$2:$A$25</c:f>
              <c:numCache>
                <c:formatCode>General</c:formatCode>
                <c:ptCount val="24"/>
                <c:pt idx="0">
                  <c:v>53</c:v>
                </c:pt>
                <c:pt idx="1">
                  <c:v>56</c:v>
                </c:pt>
                <c:pt idx="2">
                  <c:v>57</c:v>
                </c:pt>
                <c:pt idx="3">
                  <c:v>63</c:v>
                </c:pt>
                <c:pt idx="4">
                  <c:v>66</c:v>
                </c:pt>
                <c:pt idx="5">
                  <c:v>67</c:v>
                </c:pt>
                <c:pt idx="6">
                  <c:v>67</c:v>
                </c:pt>
                <c:pt idx="7">
                  <c:v>67</c:v>
                </c:pt>
                <c:pt idx="8">
                  <c:v>68</c:v>
                </c:pt>
                <c:pt idx="9">
                  <c:v>69</c:v>
                </c:pt>
                <c:pt idx="10">
                  <c:v>70</c:v>
                </c:pt>
                <c:pt idx="11">
                  <c:v>70</c:v>
                </c:pt>
                <c:pt idx="12">
                  <c:v>70</c:v>
                </c:pt>
                <c:pt idx="13">
                  <c:v>70</c:v>
                </c:pt>
                <c:pt idx="14">
                  <c:v>72</c:v>
                </c:pt>
                <c:pt idx="15">
                  <c:v>73</c:v>
                </c:pt>
                <c:pt idx="16">
                  <c:v>75</c:v>
                </c:pt>
                <c:pt idx="17">
                  <c:v>75</c:v>
                </c:pt>
                <c:pt idx="18">
                  <c:v>76</c:v>
                </c:pt>
                <c:pt idx="19">
                  <c:v>76</c:v>
                </c:pt>
                <c:pt idx="20">
                  <c:v>78</c:v>
                </c:pt>
                <c:pt idx="21">
                  <c:v>79</c:v>
                </c:pt>
                <c:pt idx="22">
                  <c:v>80</c:v>
                </c:pt>
                <c:pt idx="23">
                  <c:v>81</c:v>
                </c:pt>
              </c:numCache>
            </c:numRef>
          </c:xVal>
          <c:yVal>
            <c:numRef>
              <c:f>Spaceship_get_a_b!$C$2:$C$25</c:f>
              <c:numCache>
                <c:formatCode>General</c:formatCode>
                <c:ptCount val="24"/>
                <c:pt idx="0">
                  <c:v>0.85758337361878889</c:v>
                </c:pt>
                <c:pt idx="1">
                  <c:v>0.7826880247715714</c:v>
                </c:pt>
                <c:pt idx="2">
                  <c:v>0.7521439691168359</c:v>
                </c:pt>
                <c:pt idx="3">
                  <c:v>0.52052764583736411</c:v>
                </c:pt>
                <c:pt idx="4">
                  <c:v>0.39369546755696361</c:v>
                </c:pt>
                <c:pt idx="5">
                  <c:v>0.35362902498056986</c:v>
                </c:pt>
                <c:pt idx="6">
                  <c:v>0.35362902498056986</c:v>
                </c:pt>
                <c:pt idx="7">
                  <c:v>0.35362902498056986</c:v>
                </c:pt>
                <c:pt idx="8">
                  <c:v>0.31551820175265477</c:v>
                </c:pt>
                <c:pt idx="9">
                  <c:v>0.27973707599150938</c:v>
                </c:pt>
                <c:pt idx="10">
                  <c:v>0.24655207821366518</c:v>
                </c:pt>
                <c:pt idx="11">
                  <c:v>0.24655207821366518</c:v>
                </c:pt>
                <c:pt idx="12">
                  <c:v>0.24655207821366518</c:v>
                </c:pt>
                <c:pt idx="13">
                  <c:v>0.24655207821366518</c:v>
                </c:pt>
                <c:pt idx="14">
                  <c:v>0.18850898602172422</c:v>
                </c:pt>
                <c:pt idx="15">
                  <c:v>0.16368682912561158</c:v>
                </c:pt>
                <c:pt idx="16">
                  <c:v>0.12199319247063113</c:v>
                </c:pt>
                <c:pt idx="17">
                  <c:v>0.12199319247063113</c:v>
                </c:pt>
                <c:pt idx="18">
                  <c:v>0.10479847950961262</c:v>
                </c:pt>
                <c:pt idx="19">
                  <c:v>0.10479847950961262</c:v>
                </c:pt>
                <c:pt idx="20">
                  <c:v>7.6728468392234253E-2</c:v>
                </c:pt>
                <c:pt idx="21">
                  <c:v>6.5438231288317855E-2</c:v>
                </c:pt>
                <c:pt idx="22">
                  <c:v>5.5709058905896412E-2</c:v>
                </c:pt>
                <c:pt idx="23">
                  <c:v>4.7353099851989086E-2</c:v>
                </c:pt>
              </c:numCache>
            </c:numRef>
          </c:yVal>
          <c:smooth val="1"/>
          <c:extLst>
            <c:ext xmlns:c16="http://schemas.microsoft.com/office/drawing/2014/chart" uri="{C3380CC4-5D6E-409C-BE32-E72D297353CC}">
              <c16:uniqueId val="{00000000-AD04-44CC-8F5F-3B9DF7741A72}"/>
            </c:ext>
          </c:extLst>
        </c:ser>
        <c:dLbls>
          <c:showLegendKey val="0"/>
          <c:showVal val="0"/>
          <c:showCatName val="0"/>
          <c:showSerName val="0"/>
          <c:showPercent val="0"/>
          <c:showBubbleSize val="0"/>
        </c:dLbls>
        <c:axId val="608106744"/>
        <c:axId val="608106352"/>
      </c:scatterChart>
      <c:valAx>
        <c:axId val="608106744"/>
        <c:scaling>
          <c:orientation val="minMax"/>
          <c:max val="82"/>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106352"/>
        <c:crosses val="autoZero"/>
        <c:crossBetween val="midCat"/>
      </c:valAx>
      <c:valAx>
        <c:axId val="608106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1067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ConventionalTransformation!$F$1</c:f>
              <c:strCache>
                <c:ptCount val="1"/>
                <c:pt idx="0">
                  <c:v>logit</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4.8188736681887369E-2"/>
                  <c:y val="0.57304014691770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ConventionalTransformation!$D$2:$D$6</c:f>
              <c:numCache>
                <c:formatCode>General</c:formatCode>
                <c:ptCount val="5"/>
                <c:pt idx="0">
                  <c:v>0</c:v>
                </c:pt>
                <c:pt idx="1">
                  <c:v>62.5</c:v>
                </c:pt>
                <c:pt idx="2">
                  <c:v>125</c:v>
                </c:pt>
                <c:pt idx="3">
                  <c:v>250</c:v>
                </c:pt>
                <c:pt idx="4">
                  <c:v>500</c:v>
                </c:pt>
              </c:numCache>
            </c:numRef>
          </c:xVal>
          <c:yVal>
            <c:numRef>
              <c:f>ConventionalTransformation!$F$2:$F$6</c:f>
              <c:numCache>
                <c:formatCode>General</c:formatCode>
                <c:ptCount val="5"/>
                <c:pt idx="0">
                  <c:v>-2.9338568698359033</c:v>
                </c:pt>
                <c:pt idx="1">
                  <c:v>-2.582887058148204</c:v>
                </c:pt>
                <c:pt idx="2">
                  <c:v>-2.578838469622204</c:v>
                </c:pt>
                <c:pt idx="3">
                  <c:v>-1.9269342475963076</c:v>
                </c:pt>
                <c:pt idx="4">
                  <c:v>2.1053409197832482E-2</c:v>
                </c:pt>
              </c:numCache>
            </c:numRef>
          </c:yVal>
          <c:smooth val="0"/>
          <c:extLst>
            <c:ext xmlns:c16="http://schemas.microsoft.com/office/drawing/2014/chart" uri="{C3380CC4-5D6E-409C-BE32-E72D297353CC}">
              <c16:uniqueId val="{00000000-98AC-4809-9539-D983568D05E9}"/>
            </c:ext>
          </c:extLst>
        </c:ser>
        <c:dLbls>
          <c:showLegendKey val="0"/>
          <c:showVal val="0"/>
          <c:showCatName val="0"/>
          <c:showSerName val="0"/>
          <c:showPercent val="0"/>
          <c:showBubbleSize val="0"/>
        </c:dLbls>
        <c:axId val="521720784"/>
        <c:axId val="521721176"/>
      </c:scatterChart>
      <c:valAx>
        <c:axId val="521720784"/>
        <c:scaling>
          <c:orientation val="minMax"/>
          <c:max val="5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721176"/>
        <c:crossesAt val="-3"/>
        <c:crossBetween val="midCat"/>
      </c:valAx>
      <c:valAx>
        <c:axId val="521721176"/>
        <c:scaling>
          <c:orientation val="minMax"/>
          <c:max val="5.000000000000001E-2"/>
          <c:min val="-3"/>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logit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7207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GLM_Likelihood!$F$1</c:f>
              <c:strCache>
                <c:ptCount val="1"/>
                <c:pt idx="0">
                  <c:v>E(p)</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GLM_Likelihood!$D$2:$D$6</c:f>
              <c:numCache>
                <c:formatCode>General</c:formatCode>
                <c:ptCount val="5"/>
                <c:pt idx="0">
                  <c:v>0</c:v>
                </c:pt>
                <c:pt idx="1">
                  <c:v>62.5</c:v>
                </c:pt>
                <c:pt idx="2">
                  <c:v>125</c:v>
                </c:pt>
                <c:pt idx="3">
                  <c:v>250</c:v>
                </c:pt>
                <c:pt idx="4">
                  <c:v>500</c:v>
                </c:pt>
              </c:numCache>
            </c:numRef>
          </c:xVal>
          <c:yVal>
            <c:numRef>
              <c:f>GLM_Likelihood!$F$2:$F$6</c:f>
              <c:numCache>
                <c:formatCode>General</c:formatCode>
                <c:ptCount val="5"/>
                <c:pt idx="0">
                  <c:v>3.7401199139529329E-2</c:v>
                </c:pt>
                <c:pt idx="1">
                  <c:v>5.4752841482292702E-2</c:v>
                </c:pt>
                <c:pt idx="2">
                  <c:v>7.9489724956911409E-2</c:v>
                </c:pt>
                <c:pt idx="3">
                  <c:v>0.16101884373431719</c:v>
                </c:pt>
                <c:pt idx="4">
                  <c:v>0.48665323433248531</c:v>
                </c:pt>
              </c:numCache>
            </c:numRef>
          </c:yVal>
          <c:smooth val="1"/>
          <c:extLst>
            <c:ext xmlns:c16="http://schemas.microsoft.com/office/drawing/2014/chart" uri="{C3380CC4-5D6E-409C-BE32-E72D297353CC}">
              <c16:uniqueId val="{00000000-194C-4D5C-B389-C105ABBA731F}"/>
            </c:ext>
          </c:extLst>
        </c:ser>
        <c:dLbls>
          <c:showLegendKey val="0"/>
          <c:showVal val="0"/>
          <c:showCatName val="0"/>
          <c:showSerName val="0"/>
          <c:showPercent val="0"/>
          <c:showBubbleSize val="0"/>
        </c:dLbls>
        <c:axId val="148462143"/>
        <c:axId val="148457567"/>
      </c:scatterChart>
      <c:valAx>
        <c:axId val="148462143"/>
        <c:scaling>
          <c:orientation val="minMax"/>
          <c:max val="5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457567"/>
        <c:crosses val="autoZero"/>
        <c:crossBetween val="midCat"/>
      </c:valAx>
      <c:valAx>
        <c:axId val="148457567"/>
        <c:scaling>
          <c:orientation val="minMax"/>
          <c:max val="0.5"/>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46214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447675</xdr:colOff>
      <xdr:row>18</xdr:row>
      <xdr:rowOff>147637</xdr:rowOff>
    </xdr:from>
    <xdr:to>
      <xdr:col>22</xdr:col>
      <xdr:colOff>514350</xdr:colOff>
      <xdr:row>33</xdr:row>
      <xdr:rowOff>4762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15</xdr:col>
      <xdr:colOff>419100</xdr:colOff>
      <xdr:row>8</xdr:row>
      <xdr:rowOff>76200</xdr:rowOff>
    </xdr:from>
    <xdr:ext cx="6386513" cy="727507"/>
    <mc:AlternateContent xmlns:mc="http://schemas.openxmlformats.org/markup-compatibility/2006">
      <mc:Choice xmlns:a14="http://schemas.microsoft.com/office/drawing/2010/main" Requires="a14">
        <xdr:sp macro="" textlink="">
          <xdr:nvSpPr>
            <xdr:cNvPr id="3" name="TextBox 2"/>
            <xdr:cNvSpPr txBox="1"/>
          </xdr:nvSpPr>
          <xdr:spPr>
            <a:xfrm>
              <a:off x="9553575" y="1600200"/>
              <a:ext cx="6386513"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b="0" i="1">
                        <a:latin typeface="Cambria Math" panose="02040503050406030204" pitchFamily="18" charset="0"/>
                      </a:rPr>
                      <m:t>𝐷𝑒𝑣𝑅𝑒𝑠</m:t>
                    </m:r>
                    <m:r>
                      <a:rPr lang="en-US" sz="1600" b="0" i="1">
                        <a:latin typeface="Cambria Math" panose="02040503050406030204" pitchFamily="18" charset="0"/>
                      </a:rPr>
                      <m:t>=</m:t>
                    </m:r>
                    <m:r>
                      <a:rPr lang="en-US" sz="1600" b="0" i="1">
                        <a:latin typeface="Cambria Math" panose="02040503050406030204" pitchFamily="18" charset="0"/>
                      </a:rPr>
                      <m:t>𝑠𝑛𝑔</m:t>
                    </m:r>
                    <m:r>
                      <a:rPr lang="en-US" sz="1600" b="0" i="1">
                        <a:latin typeface="Cambria Math" panose="02040503050406030204" pitchFamily="18" charset="0"/>
                      </a:rPr>
                      <m:t>(</m:t>
                    </m:r>
                    <m:sSub>
                      <m:sSubPr>
                        <m:ctrlPr>
                          <a:rPr lang="en-US" sz="1600" b="0" i="1">
                            <a:latin typeface="Cambria Math" panose="02040503050406030204" pitchFamily="18" charset="0"/>
                          </a:rPr>
                        </m:ctrlPr>
                      </m:sSubPr>
                      <m:e>
                        <m:r>
                          <a:rPr lang="en-US" sz="1600" b="0" i="1">
                            <a:latin typeface="Cambria Math" panose="02040503050406030204" pitchFamily="18" charset="0"/>
                          </a:rPr>
                          <m:t>𝑁</m:t>
                        </m:r>
                      </m:e>
                      <m:sub>
                        <m:r>
                          <a:rPr lang="en-US" sz="1600" b="0" i="1">
                            <a:latin typeface="Cambria Math" panose="02040503050406030204" pitchFamily="18" charset="0"/>
                          </a:rPr>
                          <m:t>h𝑖𝑡</m:t>
                        </m:r>
                      </m:sub>
                    </m:sSub>
                    <m:r>
                      <a:rPr lang="en-US" sz="1600" b="0" i="1">
                        <a:latin typeface="Cambria Math" panose="02040503050406030204" pitchFamily="18" charset="0"/>
                      </a:rPr>
                      <m:t>−</m:t>
                    </m:r>
                    <m:r>
                      <a:rPr lang="en-US" sz="1600" b="0" i="1">
                        <a:latin typeface="Cambria Math" panose="02040503050406030204" pitchFamily="18" charset="0"/>
                      </a:rPr>
                      <m:t>𝐸</m:t>
                    </m:r>
                    <m:sSub>
                      <m:sSubPr>
                        <m:ctrlPr>
                          <a:rPr lang="en-US" sz="1600" b="0" i="1">
                            <a:latin typeface="Cambria Math" panose="02040503050406030204" pitchFamily="18" charset="0"/>
                          </a:rPr>
                        </m:ctrlPr>
                      </m:sSubPr>
                      <m:e>
                        <m:r>
                          <a:rPr lang="en-US" sz="1600" b="0" i="1">
                            <a:latin typeface="Cambria Math" panose="02040503050406030204" pitchFamily="18" charset="0"/>
                          </a:rPr>
                          <m:t>𝑁</m:t>
                        </m:r>
                      </m:e>
                      <m:sub>
                        <m:r>
                          <a:rPr lang="en-US" sz="1600" b="0" i="1">
                            <a:latin typeface="Cambria Math" panose="02040503050406030204" pitchFamily="18" charset="0"/>
                          </a:rPr>
                          <m:t>h𝑖𝑡</m:t>
                        </m:r>
                      </m:sub>
                    </m:sSub>
                    <m:r>
                      <a:rPr lang="en-US" sz="1600" b="0" i="1">
                        <a:latin typeface="Cambria Math" panose="02040503050406030204" pitchFamily="18" charset="0"/>
                      </a:rPr>
                      <m:t>)</m:t>
                    </m:r>
                    <m:rad>
                      <m:radPr>
                        <m:degHide m:val="on"/>
                        <m:ctrlPr>
                          <a:rPr lang="en-US" sz="1600" b="0" i="1">
                            <a:latin typeface="Cambria Math" panose="02040503050406030204" pitchFamily="18" charset="0"/>
                          </a:rPr>
                        </m:ctrlPr>
                      </m:radPr>
                      <m:deg/>
                      <m:e>
                        <m:r>
                          <a:rPr lang="en-US" sz="1600" b="0" i="1">
                            <a:latin typeface="Cambria Math" panose="02040503050406030204" pitchFamily="18" charset="0"/>
                          </a:rPr>
                          <m:t>2</m:t>
                        </m:r>
                        <m:d>
                          <m:dPr>
                            <m:begChr m:val="["/>
                            <m:endChr m:val="]"/>
                            <m:ctrlPr>
                              <a:rPr lang="en-US" sz="1600" b="0" i="1">
                                <a:latin typeface="Cambria Math" panose="02040503050406030204" pitchFamily="18" charset="0"/>
                              </a:rPr>
                            </m:ctrlPr>
                          </m:dPr>
                          <m:e>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h𝑖𝑡</m:t>
                                </m:r>
                              </m:sub>
                            </m:sSub>
                            <m:func>
                              <m:funcPr>
                                <m:ctrlPr>
                                  <a:rPr lang="en-US" sz="1600" b="0" i="1">
                                    <a:solidFill>
                                      <a:schemeClr val="tx1"/>
                                    </a:solidFill>
                                    <a:effectLst/>
                                    <a:latin typeface="Cambria Math" panose="02040503050406030204" pitchFamily="18" charset="0"/>
                                    <a:ea typeface="+mn-ea"/>
                                    <a:cs typeface="+mn-cs"/>
                                  </a:rPr>
                                </m:ctrlPr>
                              </m:funcPr>
                              <m:fName>
                                <m:r>
                                  <m:rPr>
                                    <m:sty m:val="p"/>
                                  </m:rPr>
                                  <a:rPr lang="en-US" sz="1600" b="0" i="0">
                                    <a:solidFill>
                                      <a:schemeClr val="tx1"/>
                                    </a:solidFill>
                                    <a:effectLst/>
                                    <a:latin typeface="Cambria Math" panose="02040503050406030204" pitchFamily="18" charset="0"/>
                                    <a:ea typeface="+mn-ea"/>
                                    <a:cs typeface="+mn-cs"/>
                                  </a:rPr>
                                  <m:t>ln</m:t>
                                </m:r>
                              </m:fName>
                              <m:e>
                                <m:d>
                                  <m:dPr>
                                    <m:ctrlPr>
                                      <a:rPr lang="en-US" sz="1600" b="0" i="1">
                                        <a:solidFill>
                                          <a:schemeClr val="tx1"/>
                                        </a:solidFill>
                                        <a:effectLst/>
                                        <a:latin typeface="Cambria Math" panose="02040503050406030204" pitchFamily="18" charset="0"/>
                                        <a:ea typeface="+mn-ea"/>
                                        <a:cs typeface="+mn-cs"/>
                                      </a:rPr>
                                    </m:ctrlPr>
                                  </m:dPr>
                                  <m:e>
                                    <m:f>
                                      <m:fPr>
                                        <m:ctrlPr>
                                          <a:rPr lang="en-US" sz="1600" b="0" i="1">
                                            <a:solidFill>
                                              <a:schemeClr val="tx1"/>
                                            </a:solidFill>
                                            <a:effectLst/>
                                            <a:latin typeface="Cambria Math" panose="02040503050406030204" pitchFamily="18" charset="0"/>
                                            <a:ea typeface="+mn-ea"/>
                                            <a:cs typeface="+mn-cs"/>
                                          </a:rPr>
                                        </m:ctrlPr>
                                      </m:fPr>
                                      <m:num>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h𝑖𝑡</m:t>
                                            </m:r>
                                          </m:sub>
                                        </m:sSub>
                                      </m:num>
                                      <m:den>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𝐸𝑁</m:t>
                                            </m:r>
                                          </m:e>
                                          <m:sub>
                                            <m:r>
                                              <a:rPr lang="en-US" sz="1600" b="0" i="1">
                                                <a:solidFill>
                                                  <a:schemeClr val="tx1"/>
                                                </a:solidFill>
                                                <a:effectLst/>
                                                <a:latin typeface="Cambria Math" panose="02040503050406030204" pitchFamily="18" charset="0"/>
                                                <a:ea typeface="+mn-ea"/>
                                                <a:cs typeface="+mn-cs"/>
                                              </a:rPr>
                                              <m:t>h𝑖𝑡</m:t>
                                            </m:r>
                                          </m:sub>
                                        </m:sSub>
                                      </m:den>
                                    </m:f>
                                  </m:e>
                                </m:d>
                              </m:e>
                            </m:func>
                            <m:r>
                              <a:rPr lang="en-US" sz="1600" b="0" i="1">
                                <a:solidFill>
                                  <a:schemeClr val="tx1"/>
                                </a:solidFill>
                                <a:effectLst/>
                                <a:latin typeface="Cambria Math" panose="02040503050406030204" pitchFamily="18" charset="0"/>
                                <a:ea typeface="+mn-ea"/>
                                <a:cs typeface="+mn-cs"/>
                              </a:rPr>
                              <m:t>+</m:t>
                            </m:r>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𝑚𝑖𝑠𝑠</m:t>
                                </m:r>
                              </m:sub>
                            </m:sSub>
                            <m:r>
                              <a:rPr lang="en-US" sz="1600" b="0" i="1">
                                <a:solidFill>
                                  <a:schemeClr val="tx1"/>
                                </a:solidFill>
                                <a:effectLst/>
                                <a:latin typeface="Cambria Math" panose="02040503050406030204" pitchFamily="18" charset="0"/>
                                <a:ea typeface="+mn-ea"/>
                                <a:cs typeface="+mn-cs"/>
                              </a:rPr>
                              <m:t>𝑙𝑛</m:t>
                            </m:r>
                            <m:d>
                              <m:dPr>
                                <m:ctrlPr>
                                  <a:rPr lang="en-US" sz="1600" b="0" i="1">
                                    <a:solidFill>
                                      <a:schemeClr val="tx1"/>
                                    </a:solidFill>
                                    <a:effectLst/>
                                    <a:latin typeface="Cambria Math" panose="02040503050406030204" pitchFamily="18" charset="0"/>
                                    <a:ea typeface="+mn-ea"/>
                                    <a:cs typeface="+mn-cs"/>
                                  </a:rPr>
                                </m:ctrlPr>
                              </m:dPr>
                              <m:e>
                                <m:f>
                                  <m:fPr>
                                    <m:ctrlPr>
                                      <a:rPr lang="en-US" sz="1600" b="0" i="1">
                                        <a:solidFill>
                                          <a:schemeClr val="tx1"/>
                                        </a:solidFill>
                                        <a:effectLst/>
                                        <a:latin typeface="Cambria Math" panose="02040503050406030204" pitchFamily="18" charset="0"/>
                                        <a:ea typeface="+mn-ea"/>
                                        <a:cs typeface="+mn-cs"/>
                                      </a:rPr>
                                    </m:ctrlPr>
                                  </m:fPr>
                                  <m:num>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𝑚𝑖𝑠𝑠</m:t>
                                        </m:r>
                                      </m:sub>
                                    </m:sSub>
                                  </m:num>
                                  <m:den>
                                    <m:r>
                                      <a:rPr lang="en-US" sz="1600" b="0" i="1">
                                        <a:solidFill>
                                          <a:schemeClr val="tx1"/>
                                        </a:solidFill>
                                        <a:effectLst/>
                                        <a:latin typeface="Cambria Math" panose="02040503050406030204" pitchFamily="18" charset="0"/>
                                        <a:ea typeface="+mn-ea"/>
                                        <a:cs typeface="+mn-cs"/>
                                      </a:rPr>
                                      <m:t>𝐸</m:t>
                                    </m:r>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𝑚𝑖𝑠𝑠</m:t>
                                        </m:r>
                                      </m:sub>
                                    </m:sSub>
                                  </m:den>
                                </m:f>
                              </m:e>
                            </m:d>
                          </m:e>
                        </m:d>
                      </m:e>
                    </m:rad>
                  </m:oMath>
                </m:oMathPara>
              </a14:m>
              <a:endParaRPr lang="en-US" sz="1600"/>
            </a:p>
          </xdr:txBody>
        </xdr:sp>
      </mc:Choice>
      <mc:Fallback>
        <xdr:sp macro="" textlink="">
          <xdr:nvSpPr>
            <xdr:cNvPr id="3" name="TextBox 2"/>
            <xdr:cNvSpPr txBox="1"/>
          </xdr:nvSpPr>
          <xdr:spPr>
            <a:xfrm>
              <a:off x="9553575" y="1600200"/>
              <a:ext cx="6386513"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600" b="0" i="0">
                  <a:latin typeface="Cambria Math" panose="02040503050406030204" pitchFamily="18" charset="0"/>
                </a:rPr>
                <a:t>𝐷𝑒𝑣𝑅𝑒𝑠=𝑠𝑛𝑔(𝑁_ℎ𝑖𝑡−𝐸𝑁_ℎ𝑖𝑡)√(2[</a:t>
              </a:r>
              <a:r>
                <a:rPr lang="en-US" sz="1600" b="0" i="0">
                  <a:solidFill>
                    <a:schemeClr val="tx1"/>
                  </a:solidFill>
                  <a:effectLst/>
                  <a:latin typeface="Cambria Math" panose="02040503050406030204" pitchFamily="18" charset="0"/>
                  <a:ea typeface="+mn-ea"/>
                  <a:cs typeface="+mn-cs"/>
                </a:rPr>
                <a:t>𝑁_ℎ𝑖𝑡  ln⁡(𝑁_ℎ𝑖𝑡/〖𝐸𝑁〗_ℎ𝑖𝑡 )+𝑁_𝑚𝑖𝑠𝑠 𝑙𝑛(𝑁_𝑚𝑖𝑠𝑠/(𝐸𝑁_𝑚𝑖𝑠𝑠 ))] )</a:t>
              </a:r>
              <a:endParaRPr lang="en-US" sz="1600"/>
            </a:p>
          </xdr:txBody>
        </xdr:sp>
      </mc:Fallback>
    </mc:AlternateContent>
    <xdr:clientData/>
  </xdr:oneCellAnchor>
  <xdr:oneCellAnchor>
    <xdr:from>
      <xdr:col>16</xdr:col>
      <xdr:colOff>61912</xdr:colOff>
      <xdr:row>1</xdr:row>
      <xdr:rowOff>157162</xdr:rowOff>
    </xdr:from>
    <xdr:ext cx="1600823" cy="484043"/>
    <mc:AlternateContent xmlns:mc="http://schemas.openxmlformats.org/markup-compatibility/2006">
      <mc:Choice xmlns:a14="http://schemas.microsoft.com/office/drawing/2010/main" Requires="a14">
        <xdr:sp macro="" textlink="">
          <xdr:nvSpPr>
            <xdr:cNvPr id="4" name="TextBox 3"/>
            <xdr:cNvSpPr txBox="1"/>
          </xdr:nvSpPr>
          <xdr:spPr>
            <a:xfrm>
              <a:off x="9805987" y="347662"/>
              <a:ext cx="1600823" cy="484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unc>
                      <m:funcPr>
                        <m:ctrlPr>
                          <a:rPr lang="en-US" sz="1400" b="0" i="1">
                            <a:latin typeface="Cambria Math" panose="02040503050406030204" pitchFamily="18" charset="0"/>
                          </a:rPr>
                        </m:ctrlPr>
                      </m:funcPr>
                      <m:fName>
                        <m:r>
                          <m:rPr>
                            <m:sty m:val="p"/>
                          </m:rPr>
                          <a:rPr lang="en-US" sz="1400" b="0" i="0">
                            <a:latin typeface="Cambria Math" panose="02040503050406030204" pitchFamily="18" charset="0"/>
                          </a:rPr>
                          <m:t>ln</m:t>
                        </m:r>
                      </m:fName>
                      <m:e>
                        <m:d>
                          <m:dPr>
                            <m:ctrlPr>
                              <a:rPr lang="en-US" sz="1400" b="0" i="1">
                                <a:latin typeface="Cambria Math" panose="02040503050406030204" pitchFamily="18" charset="0"/>
                              </a:rPr>
                            </m:ctrlPr>
                          </m:dPr>
                          <m:e>
                            <m:f>
                              <m:fPr>
                                <m:ctrlPr>
                                  <a:rPr lang="en-US" sz="1400" b="0" i="1">
                                    <a:latin typeface="Cambria Math" panose="02040503050406030204" pitchFamily="18" charset="0"/>
                                  </a:rPr>
                                </m:ctrlPr>
                              </m:fPr>
                              <m:num>
                                <m:r>
                                  <a:rPr lang="en-US" sz="1400" b="0" i="1">
                                    <a:latin typeface="Cambria Math" panose="02040503050406030204" pitchFamily="18" charset="0"/>
                                  </a:rPr>
                                  <m:t>𝑝</m:t>
                                </m:r>
                              </m:num>
                              <m:den>
                                <m:r>
                                  <a:rPr lang="en-US" sz="1400" b="0" i="1">
                                    <a:latin typeface="Cambria Math" panose="02040503050406030204" pitchFamily="18" charset="0"/>
                                  </a:rPr>
                                  <m:t>1−</m:t>
                                </m:r>
                                <m:r>
                                  <a:rPr lang="en-US" sz="1400" b="0" i="1">
                                    <a:latin typeface="Cambria Math" panose="02040503050406030204" pitchFamily="18" charset="0"/>
                                  </a:rPr>
                                  <m:t>𝑝</m:t>
                                </m:r>
                              </m:den>
                            </m:f>
                          </m:e>
                        </m:d>
                      </m:e>
                    </m:func>
                    <m:r>
                      <a:rPr lang="en-US" sz="1400" b="0" i="1">
                        <a:latin typeface="Cambria Math" panose="02040503050406030204" pitchFamily="18" charset="0"/>
                      </a:rPr>
                      <m:t>=</m:t>
                    </m:r>
                    <m:r>
                      <a:rPr lang="en-US" sz="1400" b="0" i="1">
                        <a:latin typeface="Cambria Math" panose="02040503050406030204" pitchFamily="18" charset="0"/>
                      </a:rPr>
                      <m:t>𝑎</m:t>
                    </m:r>
                    <m:r>
                      <a:rPr lang="en-US" sz="1400" b="0" i="1">
                        <a:latin typeface="Cambria Math" panose="02040503050406030204" pitchFamily="18" charset="0"/>
                      </a:rPr>
                      <m:t>+</m:t>
                    </m:r>
                    <m:r>
                      <a:rPr lang="en-US" sz="1400" b="0" i="1">
                        <a:latin typeface="Cambria Math" panose="02040503050406030204" pitchFamily="18" charset="0"/>
                      </a:rPr>
                      <m:t>𝑏𝑇</m:t>
                    </m:r>
                  </m:oMath>
                </m:oMathPara>
              </a14:m>
              <a:endParaRPr lang="en-US" sz="1400"/>
            </a:p>
          </xdr:txBody>
        </xdr:sp>
      </mc:Choice>
      <mc:Fallback>
        <xdr:sp macro="" textlink="">
          <xdr:nvSpPr>
            <xdr:cNvPr id="4" name="TextBox 3"/>
            <xdr:cNvSpPr txBox="1"/>
          </xdr:nvSpPr>
          <xdr:spPr>
            <a:xfrm>
              <a:off x="9805987" y="347662"/>
              <a:ext cx="1600823" cy="484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400" b="0" i="0">
                  <a:latin typeface="Cambria Math" panose="02040503050406030204" pitchFamily="18" charset="0"/>
                </a:rPr>
                <a:t>ln⁡(𝑝/(1−𝑝))=𝑎+𝑏𝑇</a:t>
              </a:r>
              <a:endParaRPr lang="en-US" sz="1400"/>
            </a:p>
          </xdr:txBody>
        </xdr:sp>
      </mc:Fallback>
    </mc:AlternateContent>
    <xdr:clientData/>
  </xdr:oneCellAnchor>
  <xdr:oneCellAnchor>
    <xdr:from>
      <xdr:col>16</xdr:col>
      <xdr:colOff>100012</xdr:colOff>
      <xdr:row>4</xdr:row>
      <xdr:rowOff>128587</xdr:rowOff>
    </xdr:from>
    <xdr:ext cx="1302472" cy="503343"/>
    <mc:AlternateContent xmlns:mc="http://schemas.openxmlformats.org/markup-compatibility/2006">
      <mc:Choice xmlns:a14="http://schemas.microsoft.com/office/drawing/2010/main" Requires="a14">
        <xdr:sp macro="" textlink="">
          <xdr:nvSpPr>
            <xdr:cNvPr id="5" name="TextBox 4"/>
            <xdr:cNvSpPr txBox="1"/>
          </xdr:nvSpPr>
          <xdr:spPr>
            <a:xfrm>
              <a:off x="9844087" y="890587"/>
              <a:ext cx="1302472" cy="503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b="0" i="1">
                        <a:latin typeface="Cambria Math" panose="02040503050406030204" pitchFamily="18" charset="0"/>
                      </a:rPr>
                      <m:t>𝑝</m:t>
                    </m:r>
                    <m:r>
                      <a:rPr lang="en-US" sz="1600" b="0" i="1">
                        <a:latin typeface="Cambria Math" panose="02040503050406030204" pitchFamily="18" charset="0"/>
                      </a:rPr>
                      <m:t>=</m:t>
                    </m:r>
                    <m:f>
                      <m:fPr>
                        <m:ctrlPr>
                          <a:rPr lang="en-US" sz="1600" b="0" i="1">
                            <a:latin typeface="Cambria Math" panose="02040503050406030204" pitchFamily="18" charset="0"/>
                          </a:rPr>
                        </m:ctrlPr>
                      </m:fPr>
                      <m:num>
                        <m:sSup>
                          <m:sSupPr>
                            <m:ctrlPr>
                              <a:rPr lang="en-US" sz="1600" b="0" i="1">
                                <a:latin typeface="Cambria Math" panose="02040503050406030204" pitchFamily="18" charset="0"/>
                              </a:rPr>
                            </m:ctrlPr>
                          </m:sSupPr>
                          <m:e>
                            <m:r>
                              <a:rPr lang="en-US" sz="1600" b="0" i="1">
                                <a:latin typeface="Cambria Math" panose="02040503050406030204" pitchFamily="18" charset="0"/>
                              </a:rPr>
                              <m:t>𝑒</m:t>
                            </m:r>
                          </m:e>
                          <m:sup>
                            <m:r>
                              <a:rPr lang="en-US" sz="1600" b="0" i="1">
                                <a:latin typeface="Cambria Math" panose="02040503050406030204" pitchFamily="18" charset="0"/>
                              </a:rPr>
                              <m:t>𝑎</m:t>
                            </m:r>
                            <m:r>
                              <a:rPr lang="en-US" sz="1600" b="0" i="1">
                                <a:latin typeface="Cambria Math" panose="02040503050406030204" pitchFamily="18" charset="0"/>
                              </a:rPr>
                              <m:t>+</m:t>
                            </m:r>
                            <m:r>
                              <a:rPr lang="en-US" sz="1600" b="0" i="1">
                                <a:latin typeface="Cambria Math" panose="02040503050406030204" pitchFamily="18" charset="0"/>
                              </a:rPr>
                              <m:t>𝑏𝑇</m:t>
                            </m:r>
                          </m:sup>
                        </m:sSup>
                      </m:num>
                      <m:den>
                        <m:r>
                          <a:rPr lang="en-US" sz="1600" b="0" i="1">
                            <a:latin typeface="Cambria Math" panose="02040503050406030204" pitchFamily="18" charset="0"/>
                          </a:rPr>
                          <m:t>1+</m:t>
                        </m:r>
                        <m:sSup>
                          <m:sSupPr>
                            <m:ctrlPr>
                              <a:rPr lang="en-US" sz="1600" b="0" i="1">
                                <a:latin typeface="Cambria Math" panose="02040503050406030204" pitchFamily="18" charset="0"/>
                              </a:rPr>
                            </m:ctrlPr>
                          </m:sSupPr>
                          <m:e>
                            <m:r>
                              <a:rPr lang="en-US" sz="1600" b="0" i="1">
                                <a:latin typeface="Cambria Math" panose="02040503050406030204" pitchFamily="18" charset="0"/>
                              </a:rPr>
                              <m:t>𝑒</m:t>
                            </m:r>
                          </m:e>
                          <m:sup>
                            <m:r>
                              <a:rPr lang="en-US" sz="1600" b="0" i="1">
                                <a:latin typeface="Cambria Math" panose="02040503050406030204" pitchFamily="18" charset="0"/>
                              </a:rPr>
                              <m:t>𝑎</m:t>
                            </m:r>
                            <m:r>
                              <a:rPr lang="en-US" sz="1600" b="0" i="1">
                                <a:latin typeface="Cambria Math" panose="02040503050406030204" pitchFamily="18" charset="0"/>
                              </a:rPr>
                              <m:t>+</m:t>
                            </m:r>
                            <m:r>
                              <a:rPr lang="en-US" sz="1600" b="0" i="1">
                                <a:latin typeface="Cambria Math" panose="02040503050406030204" pitchFamily="18" charset="0"/>
                              </a:rPr>
                              <m:t>𝑏𝑇</m:t>
                            </m:r>
                          </m:sup>
                        </m:sSup>
                      </m:den>
                    </m:f>
                  </m:oMath>
                </m:oMathPara>
              </a14:m>
              <a:endParaRPr lang="en-US" sz="1600"/>
            </a:p>
          </xdr:txBody>
        </xdr:sp>
      </mc:Choice>
      <mc:Fallback>
        <xdr:sp macro="" textlink="">
          <xdr:nvSpPr>
            <xdr:cNvPr id="5" name="TextBox 4"/>
            <xdr:cNvSpPr txBox="1"/>
          </xdr:nvSpPr>
          <xdr:spPr>
            <a:xfrm>
              <a:off x="9844087" y="890587"/>
              <a:ext cx="1302472" cy="503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600" b="0" i="0">
                  <a:latin typeface="Cambria Math" panose="02040503050406030204" pitchFamily="18" charset="0"/>
                </a:rPr>
                <a:t>𝑝=𝑒^(𝑎+𝑏𝑇)/(1+𝑒^(𝑎+𝑏𝑇) )</a:t>
              </a:r>
              <a:endParaRPr lang="en-US" sz="16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16</xdr:col>
      <xdr:colOff>447675</xdr:colOff>
      <xdr:row>18</xdr:row>
      <xdr:rowOff>147637</xdr:rowOff>
    </xdr:from>
    <xdr:to>
      <xdr:col>22</xdr:col>
      <xdr:colOff>514350</xdr:colOff>
      <xdr:row>33</xdr:row>
      <xdr:rowOff>4762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15</xdr:col>
      <xdr:colOff>419100</xdr:colOff>
      <xdr:row>8</xdr:row>
      <xdr:rowOff>76200</xdr:rowOff>
    </xdr:from>
    <xdr:ext cx="6386513" cy="727507"/>
    <mc:AlternateContent xmlns:mc="http://schemas.openxmlformats.org/markup-compatibility/2006" xmlns:a14="http://schemas.microsoft.com/office/drawing/2010/main">
      <mc:Choice Requires="a14">
        <xdr:sp macro="" textlink="">
          <xdr:nvSpPr>
            <xdr:cNvPr id="5" name="TextBox 4"/>
            <xdr:cNvSpPr txBox="1"/>
          </xdr:nvSpPr>
          <xdr:spPr>
            <a:xfrm>
              <a:off x="9553575" y="1600200"/>
              <a:ext cx="6386513"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b="0" i="1">
                        <a:latin typeface="Cambria Math" panose="02040503050406030204" pitchFamily="18" charset="0"/>
                      </a:rPr>
                      <m:t>𝐷𝑒𝑣𝑅𝑒𝑠</m:t>
                    </m:r>
                    <m:r>
                      <a:rPr lang="en-US" sz="1600" b="0" i="1">
                        <a:latin typeface="Cambria Math" panose="02040503050406030204" pitchFamily="18" charset="0"/>
                      </a:rPr>
                      <m:t>=</m:t>
                    </m:r>
                    <m:r>
                      <a:rPr lang="en-US" sz="1600" b="0" i="1">
                        <a:latin typeface="Cambria Math" panose="02040503050406030204" pitchFamily="18" charset="0"/>
                      </a:rPr>
                      <m:t>𝑠𝑛𝑔</m:t>
                    </m:r>
                    <m:r>
                      <a:rPr lang="en-US" sz="1600" b="0" i="1">
                        <a:latin typeface="Cambria Math" panose="02040503050406030204" pitchFamily="18" charset="0"/>
                      </a:rPr>
                      <m:t>(</m:t>
                    </m:r>
                    <m:sSub>
                      <m:sSubPr>
                        <m:ctrlPr>
                          <a:rPr lang="en-US" sz="1600" b="0" i="1">
                            <a:latin typeface="Cambria Math" panose="02040503050406030204" pitchFamily="18" charset="0"/>
                          </a:rPr>
                        </m:ctrlPr>
                      </m:sSubPr>
                      <m:e>
                        <m:r>
                          <a:rPr lang="en-US" sz="1600" b="0" i="1">
                            <a:latin typeface="Cambria Math" panose="02040503050406030204" pitchFamily="18" charset="0"/>
                          </a:rPr>
                          <m:t>𝑁</m:t>
                        </m:r>
                      </m:e>
                      <m:sub>
                        <m:r>
                          <a:rPr lang="en-US" sz="1600" b="0" i="1">
                            <a:latin typeface="Cambria Math" panose="02040503050406030204" pitchFamily="18" charset="0"/>
                          </a:rPr>
                          <m:t>h𝑖𝑡</m:t>
                        </m:r>
                      </m:sub>
                    </m:sSub>
                    <m:r>
                      <a:rPr lang="en-US" sz="1600" b="0" i="1">
                        <a:latin typeface="Cambria Math" panose="02040503050406030204" pitchFamily="18" charset="0"/>
                      </a:rPr>
                      <m:t>−</m:t>
                    </m:r>
                    <m:r>
                      <a:rPr lang="en-US" sz="1600" b="0" i="1">
                        <a:latin typeface="Cambria Math" panose="02040503050406030204" pitchFamily="18" charset="0"/>
                      </a:rPr>
                      <m:t>𝐸</m:t>
                    </m:r>
                    <m:sSub>
                      <m:sSubPr>
                        <m:ctrlPr>
                          <a:rPr lang="en-US" sz="1600" b="0" i="1">
                            <a:latin typeface="Cambria Math" panose="02040503050406030204" pitchFamily="18" charset="0"/>
                          </a:rPr>
                        </m:ctrlPr>
                      </m:sSubPr>
                      <m:e>
                        <m:r>
                          <a:rPr lang="en-US" sz="1600" b="0" i="1">
                            <a:latin typeface="Cambria Math" panose="02040503050406030204" pitchFamily="18" charset="0"/>
                          </a:rPr>
                          <m:t>𝑁</m:t>
                        </m:r>
                      </m:e>
                      <m:sub>
                        <m:r>
                          <a:rPr lang="en-US" sz="1600" b="0" i="1">
                            <a:latin typeface="Cambria Math" panose="02040503050406030204" pitchFamily="18" charset="0"/>
                          </a:rPr>
                          <m:t>h𝑖𝑡</m:t>
                        </m:r>
                      </m:sub>
                    </m:sSub>
                    <m:r>
                      <a:rPr lang="en-US" sz="1600" b="0" i="1">
                        <a:latin typeface="Cambria Math" panose="02040503050406030204" pitchFamily="18" charset="0"/>
                      </a:rPr>
                      <m:t>)</m:t>
                    </m:r>
                    <m:rad>
                      <m:radPr>
                        <m:degHide m:val="on"/>
                        <m:ctrlPr>
                          <a:rPr lang="en-US" sz="1600" b="0" i="1">
                            <a:latin typeface="Cambria Math" panose="02040503050406030204" pitchFamily="18" charset="0"/>
                          </a:rPr>
                        </m:ctrlPr>
                      </m:radPr>
                      <m:deg/>
                      <m:e>
                        <m:r>
                          <a:rPr lang="en-US" sz="1600" b="0" i="1">
                            <a:latin typeface="Cambria Math" panose="02040503050406030204" pitchFamily="18" charset="0"/>
                          </a:rPr>
                          <m:t>2</m:t>
                        </m:r>
                        <m:d>
                          <m:dPr>
                            <m:begChr m:val="["/>
                            <m:endChr m:val="]"/>
                            <m:ctrlPr>
                              <a:rPr lang="en-US" sz="1600" b="0" i="1">
                                <a:latin typeface="Cambria Math" panose="02040503050406030204" pitchFamily="18" charset="0"/>
                              </a:rPr>
                            </m:ctrlPr>
                          </m:dPr>
                          <m:e>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h𝑖𝑡</m:t>
                                </m:r>
                              </m:sub>
                            </m:sSub>
                            <m:func>
                              <m:funcPr>
                                <m:ctrlPr>
                                  <a:rPr lang="en-US" sz="1600" b="0" i="1">
                                    <a:solidFill>
                                      <a:schemeClr val="tx1"/>
                                    </a:solidFill>
                                    <a:effectLst/>
                                    <a:latin typeface="Cambria Math" panose="02040503050406030204" pitchFamily="18" charset="0"/>
                                    <a:ea typeface="+mn-ea"/>
                                    <a:cs typeface="+mn-cs"/>
                                  </a:rPr>
                                </m:ctrlPr>
                              </m:funcPr>
                              <m:fName>
                                <m:r>
                                  <m:rPr>
                                    <m:sty m:val="p"/>
                                  </m:rPr>
                                  <a:rPr lang="en-US" sz="1600" b="0" i="0">
                                    <a:solidFill>
                                      <a:schemeClr val="tx1"/>
                                    </a:solidFill>
                                    <a:effectLst/>
                                    <a:latin typeface="Cambria Math" panose="02040503050406030204" pitchFamily="18" charset="0"/>
                                    <a:ea typeface="+mn-ea"/>
                                    <a:cs typeface="+mn-cs"/>
                                  </a:rPr>
                                  <m:t>ln</m:t>
                                </m:r>
                              </m:fName>
                              <m:e>
                                <m:d>
                                  <m:dPr>
                                    <m:ctrlPr>
                                      <a:rPr lang="en-US" sz="1600" b="0" i="1">
                                        <a:solidFill>
                                          <a:schemeClr val="tx1"/>
                                        </a:solidFill>
                                        <a:effectLst/>
                                        <a:latin typeface="Cambria Math" panose="02040503050406030204" pitchFamily="18" charset="0"/>
                                        <a:ea typeface="+mn-ea"/>
                                        <a:cs typeface="+mn-cs"/>
                                      </a:rPr>
                                    </m:ctrlPr>
                                  </m:dPr>
                                  <m:e>
                                    <m:f>
                                      <m:fPr>
                                        <m:ctrlPr>
                                          <a:rPr lang="en-US" sz="1600" b="0" i="1">
                                            <a:solidFill>
                                              <a:schemeClr val="tx1"/>
                                            </a:solidFill>
                                            <a:effectLst/>
                                            <a:latin typeface="Cambria Math" panose="02040503050406030204" pitchFamily="18" charset="0"/>
                                            <a:ea typeface="+mn-ea"/>
                                            <a:cs typeface="+mn-cs"/>
                                          </a:rPr>
                                        </m:ctrlPr>
                                      </m:fPr>
                                      <m:num>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h𝑖𝑡</m:t>
                                            </m:r>
                                          </m:sub>
                                        </m:sSub>
                                      </m:num>
                                      <m:den>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𝐸𝑁</m:t>
                                            </m:r>
                                          </m:e>
                                          <m:sub>
                                            <m:r>
                                              <a:rPr lang="en-US" sz="1600" b="0" i="1">
                                                <a:solidFill>
                                                  <a:schemeClr val="tx1"/>
                                                </a:solidFill>
                                                <a:effectLst/>
                                                <a:latin typeface="Cambria Math" panose="02040503050406030204" pitchFamily="18" charset="0"/>
                                                <a:ea typeface="+mn-ea"/>
                                                <a:cs typeface="+mn-cs"/>
                                              </a:rPr>
                                              <m:t>h𝑖𝑡</m:t>
                                            </m:r>
                                          </m:sub>
                                        </m:sSub>
                                      </m:den>
                                    </m:f>
                                  </m:e>
                                </m:d>
                              </m:e>
                            </m:func>
                            <m:r>
                              <a:rPr lang="en-US" sz="1600" b="0" i="1">
                                <a:solidFill>
                                  <a:schemeClr val="tx1"/>
                                </a:solidFill>
                                <a:effectLst/>
                                <a:latin typeface="Cambria Math" panose="02040503050406030204" pitchFamily="18" charset="0"/>
                                <a:ea typeface="+mn-ea"/>
                                <a:cs typeface="+mn-cs"/>
                              </a:rPr>
                              <m:t>+</m:t>
                            </m:r>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𝑚𝑖𝑠𝑠</m:t>
                                </m:r>
                              </m:sub>
                            </m:sSub>
                            <m:r>
                              <a:rPr lang="en-US" sz="1600" b="0" i="1">
                                <a:solidFill>
                                  <a:schemeClr val="tx1"/>
                                </a:solidFill>
                                <a:effectLst/>
                                <a:latin typeface="Cambria Math" panose="02040503050406030204" pitchFamily="18" charset="0"/>
                                <a:ea typeface="+mn-ea"/>
                                <a:cs typeface="+mn-cs"/>
                              </a:rPr>
                              <m:t>𝑙𝑛</m:t>
                            </m:r>
                            <m:d>
                              <m:dPr>
                                <m:ctrlPr>
                                  <a:rPr lang="en-US" sz="1600" b="0" i="1">
                                    <a:solidFill>
                                      <a:schemeClr val="tx1"/>
                                    </a:solidFill>
                                    <a:effectLst/>
                                    <a:latin typeface="Cambria Math" panose="02040503050406030204" pitchFamily="18" charset="0"/>
                                    <a:ea typeface="+mn-ea"/>
                                    <a:cs typeface="+mn-cs"/>
                                  </a:rPr>
                                </m:ctrlPr>
                              </m:dPr>
                              <m:e>
                                <m:f>
                                  <m:fPr>
                                    <m:ctrlPr>
                                      <a:rPr lang="en-US" sz="1600" b="0" i="1">
                                        <a:solidFill>
                                          <a:schemeClr val="tx1"/>
                                        </a:solidFill>
                                        <a:effectLst/>
                                        <a:latin typeface="Cambria Math" panose="02040503050406030204" pitchFamily="18" charset="0"/>
                                        <a:ea typeface="+mn-ea"/>
                                        <a:cs typeface="+mn-cs"/>
                                      </a:rPr>
                                    </m:ctrlPr>
                                  </m:fPr>
                                  <m:num>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𝑚𝑖𝑠𝑠</m:t>
                                        </m:r>
                                      </m:sub>
                                    </m:sSub>
                                  </m:num>
                                  <m:den>
                                    <m:r>
                                      <a:rPr lang="en-US" sz="1600" b="0" i="1">
                                        <a:solidFill>
                                          <a:schemeClr val="tx1"/>
                                        </a:solidFill>
                                        <a:effectLst/>
                                        <a:latin typeface="Cambria Math" panose="02040503050406030204" pitchFamily="18" charset="0"/>
                                        <a:ea typeface="+mn-ea"/>
                                        <a:cs typeface="+mn-cs"/>
                                      </a:rPr>
                                      <m:t>𝐸</m:t>
                                    </m:r>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𝑚𝑖𝑠𝑠</m:t>
                                        </m:r>
                                      </m:sub>
                                    </m:sSub>
                                  </m:den>
                                </m:f>
                              </m:e>
                            </m:d>
                          </m:e>
                        </m:d>
                      </m:e>
                    </m:rad>
                  </m:oMath>
                </m:oMathPara>
              </a14:m>
              <a:endParaRPr lang="en-US" sz="1600"/>
            </a:p>
          </xdr:txBody>
        </xdr:sp>
      </mc:Choice>
      <mc:Fallback xmlns="">
        <xdr:sp macro="" textlink="">
          <xdr:nvSpPr>
            <xdr:cNvPr id="5" name="TextBox 4"/>
            <xdr:cNvSpPr txBox="1"/>
          </xdr:nvSpPr>
          <xdr:spPr>
            <a:xfrm>
              <a:off x="9553575" y="1600200"/>
              <a:ext cx="6386513"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600" b="0" i="0">
                  <a:latin typeface="Cambria Math" panose="02040503050406030204" pitchFamily="18" charset="0"/>
                </a:rPr>
                <a:t>𝐷𝑒𝑣𝑅𝑒𝑠=𝑠𝑛𝑔(𝑁_ℎ𝑖𝑡−𝐸𝑁_ℎ𝑖𝑡)√(2[</a:t>
              </a:r>
              <a:r>
                <a:rPr lang="en-US" sz="1600" b="0" i="0">
                  <a:solidFill>
                    <a:schemeClr val="tx1"/>
                  </a:solidFill>
                  <a:effectLst/>
                  <a:latin typeface="+mn-lt"/>
                  <a:ea typeface="+mn-ea"/>
                  <a:cs typeface="+mn-cs"/>
                </a:rPr>
                <a:t>𝑁_ℎ𝑖𝑡  ln⁡(𝑁_ℎ𝑖𝑡/〖</a:t>
              </a:r>
              <a:r>
                <a:rPr lang="en-US" sz="1600" b="0" i="0">
                  <a:solidFill>
                    <a:schemeClr val="tx1"/>
                  </a:solidFill>
                  <a:effectLst/>
                  <a:latin typeface="Cambria Math" panose="02040503050406030204" pitchFamily="18" charset="0"/>
                  <a:ea typeface="+mn-ea"/>
                  <a:cs typeface="+mn-cs"/>
                </a:rPr>
                <a:t>𝐸</a:t>
              </a:r>
              <a:r>
                <a:rPr lang="en-US" sz="1600" b="0" i="0">
                  <a:solidFill>
                    <a:schemeClr val="tx1"/>
                  </a:solidFill>
                  <a:effectLst/>
                  <a:latin typeface="+mn-lt"/>
                  <a:ea typeface="+mn-ea"/>
                  <a:cs typeface="+mn-cs"/>
                </a:rPr>
                <a:t>𝑁〗_</a:t>
              </a:r>
              <a:r>
                <a:rPr lang="en-US" sz="1600" b="0" i="0">
                  <a:solidFill>
                    <a:schemeClr val="tx1"/>
                  </a:solidFill>
                  <a:effectLst/>
                  <a:latin typeface="Cambria Math" panose="02040503050406030204" pitchFamily="18" charset="0"/>
                  <a:ea typeface="+mn-ea"/>
                  <a:cs typeface="+mn-cs"/>
                </a:rPr>
                <a:t>ℎ𝑖𝑡</a:t>
              </a:r>
              <a:r>
                <a:rPr lang="en-US" sz="1600" b="0" i="0">
                  <a:solidFill>
                    <a:schemeClr val="tx1"/>
                  </a:solidFill>
                  <a:effectLst/>
                  <a:latin typeface="+mn-lt"/>
                  <a:ea typeface="+mn-ea"/>
                  <a:cs typeface="+mn-cs"/>
                </a:rPr>
                <a:t> )+</a:t>
              </a:r>
              <a:r>
                <a:rPr lang="en-US" sz="1600" b="0" i="0">
                  <a:solidFill>
                    <a:schemeClr val="tx1"/>
                  </a:solidFill>
                  <a:effectLst/>
                  <a:latin typeface="Cambria Math" panose="02040503050406030204" pitchFamily="18" charset="0"/>
                  <a:ea typeface="+mn-ea"/>
                  <a:cs typeface="+mn-cs"/>
                </a:rPr>
                <a:t>𝑁_𝑚𝑖𝑠𝑠 𝑙𝑛(𝑁_𝑚𝑖𝑠𝑠/(𝐸𝑁_𝑚𝑖𝑠𝑠 ))] )</a:t>
              </a:r>
              <a:endParaRPr lang="en-US" sz="1600"/>
            </a:p>
          </xdr:txBody>
        </xdr:sp>
      </mc:Fallback>
    </mc:AlternateContent>
    <xdr:clientData/>
  </xdr:oneCellAnchor>
  <xdr:oneCellAnchor>
    <xdr:from>
      <xdr:col>16</xdr:col>
      <xdr:colOff>61912</xdr:colOff>
      <xdr:row>1</xdr:row>
      <xdr:rowOff>157162</xdr:rowOff>
    </xdr:from>
    <xdr:ext cx="1600823" cy="484043"/>
    <mc:AlternateContent xmlns:mc="http://schemas.openxmlformats.org/markup-compatibility/2006" xmlns:a14="http://schemas.microsoft.com/office/drawing/2010/main">
      <mc:Choice Requires="a14">
        <xdr:sp macro="" textlink="">
          <xdr:nvSpPr>
            <xdr:cNvPr id="3" name="TextBox 2"/>
            <xdr:cNvSpPr txBox="1"/>
          </xdr:nvSpPr>
          <xdr:spPr>
            <a:xfrm>
              <a:off x="9805987" y="347662"/>
              <a:ext cx="1600823" cy="484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unc>
                      <m:funcPr>
                        <m:ctrlPr>
                          <a:rPr lang="en-US" sz="1400" b="0" i="1">
                            <a:latin typeface="Cambria Math" panose="02040503050406030204" pitchFamily="18" charset="0"/>
                          </a:rPr>
                        </m:ctrlPr>
                      </m:funcPr>
                      <m:fName>
                        <m:r>
                          <m:rPr>
                            <m:sty m:val="p"/>
                          </m:rPr>
                          <a:rPr lang="en-US" sz="1400" b="0" i="0">
                            <a:latin typeface="Cambria Math" panose="02040503050406030204" pitchFamily="18" charset="0"/>
                          </a:rPr>
                          <m:t>ln</m:t>
                        </m:r>
                      </m:fName>
                      <m:e>
                        <m:d>
                          <m:dPr>
                            <m:ctrlPr>
                              <a:rPr lang="en-US" sz="1400" b="0" i="1">
                                <a:latin typeface="Cambria Math" panose="02040503050406030204" pitchFamily="18" charset="0"/>
                              </a:rPr>
                            </m:ctrlPr>
                          </m:dPr>
                          <m:e>
                            <m:f>
                              <m:fPr>
                                <m:ctrlPr>
                                  <a:rPr lang="en-US" sz="1400" b="0" i="1">
                                    <a:latin typeface="Cambria Math" panose="02040503050406030204" pitchFamily="18" charset="0"/>
                                  </a:rPr>
                                </m:ctrlPr>
                              </m:fPr>
                              <m:num>
                                <m:r>
                                  <a:rPr lang="en-US" sz="1400" b="0" i="1">
                                    <a:latin typeface="Cambria Math" panose="02040503050406030204" pitchFamily="18" charset="0"/>
                                  </a:rPr>
                                  <m:t>𝑝</m:t>
                                </m:r>
                              </m:num>
                              <m:den>
                                <m:r>
                                  <a:rPr lang="en-US" sz="1400" b="0" i="1">
                                    <a:latin typeface="Cambria Math" panose="02040503050406030204" pitchFamily="18" charset="0"/>
                                  </a:rPr>
                                  <m:t>1−</m:t>
                                </m:r>
                                <m:r>
                                  <a:rPr lang="en-US" sz="1400" b="0" i="1">
                                    <a:latin typeface="Cambria Math" panose="02040503050406030204" pitchFamily="18" charset="0"/>
                                  </a:rPr>
                                  <m:t>𝑝</m:t>
                                </m:r>
                              </m:den>
                            </m:f>
                          </m:e>
                        </m:d>
                      </m:e>
                    </m:func>
                    <m:r>
                      <a:rPr lang="en-US" sz="1400" b="0" i="1">
                        <a:latin typeface="Cambria Math" panose="02040503050406030204" pitchFamily="18" charset="0"/>
                      </a:rPr>
                      <m:t>=</m:t>
                    </m:r>
                    <m:r>
                      <a:rPr lang="en-US" sz="1400" b="0" i="1">
                        <a:latin typeface="Cambria Math" panose="02040503050406030204" pitchFamily="18" charset="0"/>
                      </a:rPr>
                      <m:t>𝑎</m:t>
                    </m:r>
                    <m:r>
                      <a:rPr lang="en-US" sz="1400" b="0" i="1">
                        <a:latin typeface="Cambria Math" panose="02040503050406030204" pitchFamily="18" charset="0"/>
                      </a:rPr>
                      <m:t>+</m:t>
                    </m:r>
                    <m:r>
                      <a:rPr lang="en-US" sz="1400" b="0" i="1">
                        <a:latin typeface="Cambria Math" panose="02040503050406030204" pitchFamily="18" charset="0"/>
                      </a:rPr>
                      <m:t>𝑏𝑇</m:t>
                    </m:r>
                  </m:oMath>
                </m:oMathPara>
              </a14:m>
              <a:endParaRPr lang="en-US" sz="1400"/>
            </a:p>
          </xdr:txBody>
        </xdr:sp>
      </mc:Choice>
      <mc:Fallback xmlns="">
        <xdr:sp macro="" textlink="">
          <xdr:nvSpPr>
            <xdr:cNvPr id="3" name="TextBox 2"/>
            <xdr:cNvSpPr txBox="1"/>
          </xdr:nvSpPr>
          <xdr:spPr>
            <a:xfrm>
              <a:off x="9805987" y="347662"/>
              <a:ext cx="1600823" cy="484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400" b="0" i="0">
                  <a:latin typeface="Cambria Math" panose="02040503050406030204" pitchFamily="18" charset="0"/>
                </a:rPr>
                <a:t>ln⁡(𝑝/(1−𝑝))=𝑎+𝑏𝑇</a:t>
              </a:r>
              <a:endParaRPr lang="en-US" sz="1400"/>
            </a:p>
          </xdr:txBody>
        </xdr:sp>
      </mc:Fallback>
    </mc:AlternateContent>
    <xdr:clientData/>
  </xdr:oneCellAnchor>
  <xdr:oneCellAnchor>
    <xdr:from>
      <xdr:col>16</xdr:col>
      <xdr:colOff>100012</xdr:colOff>
      <xdr:row>4</xdr:row>
      <xdr:rowOff>128587</xdr:rowOff>
    </xdr:from>
    <xdr:ext cx="1302472" cy="503343"/>
    <mc:AlternateContent xmlns:mc="http://schemas.openxmlformats.org/markup-compatibility/2006" xmlns:a14="http://schemas.microsoft.com/office/drawing/2010/main">
      <mc:Choice Requires="a14">
        <xdr:sp macro="" textlink="">
          <xdr:nvSpPr>
            <xdr:cNvPr id="6" name="TextBox 5"/>
            <xdr:cNvSpPr txBox="1"/>
          </xdr:nvSpPr>
          <xdr:spPr>
            <a:xfrm>
              <a:off x="9844087" y="890587"/>
              <a:ext cx="1302472" cy="503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b="0" i="1">
                        <a:latin typeface="Cambria Math" panose="02040503050406030204" pitchFamily="18" charset="0"/>
                      </a:rPr>
                      <m:t>𝑝</m:t>
                    </m:r>
                    <m:r>
                      <a:rPr lang="en-US" sz="1600" b="0" i="1">
                        <a:latin typeface="Cambria Math" panose="02040503050406030204" pitchFamily="18" charset="0"/>
                      </a:rPr>
                      <m:t>=</m:t>
                    </m:r>
                    <m:f>
                      <m:fPr>
                        <m:ctrlPr>
                          <a:rPr lang="en-US" sz="1600" b="0" i="1">
                            <a:latin typeface="Cambria Math" panose="02040503050406030204" pitchFamily="18" charset="0"/>
                          </a:rPr>
                        </m:ctrlPr>
                      </m:fPr>
                      <m:num>
                        <m:sSup>
                          <m:sSupPr>
                            <m:ctrlPr>
                              <a:rPr lang="en-US" sz="1600" b="0" i="1">
                                <a:latin typeface="Cambria Math" panose="02040503050406030204" pitchFamily="18" charset="0"/>
                              </a:rPr>
                            </m:ctrlPr>
                          </m:sSupPr>
                          <m:e>
                            <m:r>
                              <a:rPr lang="en-US" sz="1600" b="0" i="1">
                                <a:latin typeface="Cambria Math" panose="02040503050406030204" pitchFamily="18" charset="0"/>
                              </a:rPr>
                              <m:t>𝑒</m:t>
                            </m:r>
                          </m:e>
                          <m:sup>
                            <m:r>
                              <a:rPr lang="en-US" sz="1600" b="0" i="1">
                                <a:latin typeface="Cambria Math" panose="02040503050406030204" pitchFamily="18" charset="0"/>
                              </a:rPr>
                              <m:t>𝑎</m:t>
                            </m:r>
                            <m:r>
                              <a:rPr lang="en-US" sz="1600" b="0" i="1">
                                <a:latin typeface="Cambria Math" panose="02040503050406030204" pitchFamily="18" charset="0"/>
                              </a:rPr>
                              <m:t>+</m:t>
                            </m:r>
                            <m:r>
                              <a:rPr lang="en-US" sz="1600" b="0" i="1">
                                <a:latin typeface="Cambria Math" panose="02040503050406030204" pitchFamily="18" charset="0"/>
                              </a:rPr>
                              <m:t>𝑏𝑇</m:t>
                            </m:r>
                          </m:sup>
                        </m:sSup>
                      </m:num>
                      <m:den>
                        <m:r>
                          <a:rPr lang="en-US" sz="1600" b="0" i="1">
                            <a:latin typeface="Cambria Math" panose="02040503050406030204" pitchFamily="18" charset="0"/>
                          </a:rPr>
                          <m:t>1+</m:t>
                        </m:r>
                        <m:sSup>
                          <m:sSupPr>
                            <m:ctrlPr>
                              <a:rPr lang="en-US" sz="1600" b="0" i="1">
                                <a:latin typeface="Cambria Math" panose="02040503050406030204" pitchFamily="18" charset="0"/>
                              </a:rPr>
                            </m:ctrlPr>
                          </m:sSupPr>
                          <m:e>
                            <m:r>
                              <a:rPr lang="en-US" sz="1600" b="0" i="1">
                                <a:latin typeface="Cambria Math" panose="02040503050406030204" pitchFamily="18" charset="0"/>
                              </a:rPr>
                              <m:t>𝑒</m:t>
                            </m:r>
                          </m:e>
                          <m:sup>
                            <m:r>
                              <a:rPr lang="en-US" sz="1600" b="0" i="1">
                                <a:latin typeface="Cambria Math" panose="02040503050406030204" pitchFamily="18" charset="0"/>
                              </a:rPr>
                              <m:t>𝑎</m:t>
                            </m:r>
                            <m:r>
                              <a:rPr lang="en-US" sz="1600" b="0" i="1">
                                <a:latin typeface="Cambria Math" panose="02040503050406030204" pitchFamily="18" charset="0"/>
                              </a:rPr>
                              <m:t>+</m:t>
                            </m:r>
                            <m:r>
                              <a:rPr lang="en-US" sz="1600" b="0" i="1">
                                <a:latin typeface="Cambria Math" panose="02040503050406030204" pitchFamily="18" charset="0"/>
                              </a:rPr>
                              <m:t>𝑏𝑇</m:t>
                            </m:r>
                          </m:sup>
                        </m:sSup>
                      </m:den>
                    </m:f>
                  </m:oMath>
                </m:oMathPara>
              </a14:m>
              <a:endParaRPr lang="en-US" sz="1600"/>
            </a:p>
          </xdr:txBody>
        </xdr:sp>
      </mc:Choice>
      <mc:Fallback xmlns="">
        <xdr:sp macro="" textlink="">
          <xdr:nvSpPr>
            <xdr:cNvPr id="6" name="TextBox 5"/>
            <xdr:cNvSpPr txBox="1"/>
          </xdr:nvSpPr>
          <xdr:spPr>
            <a:xfrm>
              <a:off x="9844087" y="890587"/>
              <a:ext cx="1302472" cy="503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600" b="0" i="0">
                  <a:latin typeface="Cambria Math" panose="02040503050406030204" pitchFamily="18" charset="0"/>
                </a:rPr>
                <a:t>𝑝=𝑒^(𝑎+𝑏𝑇)/(1+𝑒^(𝑎+𝑏𝑇) )</a:t>
              </a:r>
              <a:endParaRPr lang="en-US" sz="16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7</xdr:col>
      <xdr:colOff>314325</xdr:colOff>
      <xdr:row>19</xdr:row>
      <xdr:rowOff>38100</xdr:rowOff>
    </xdr:from>
    <xdr:to>
      <xdr:col>12</xdr:col>
      <xdr:colOff>447676</xdr:colOff>
      <xdr:row>33</xdr:row>
      <xdr:rowOff>185737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276225</xdr:colOff>
      <xdr:row>17</xdr:row>
      <xdr:rowOff>19050</xdr:rowOff>
    </xdr:from>
    <xdr:to>
      <xdr:col>5</xdr:col>
      <xdr:colOff>152400</xdr:colOff>
      <xdr:row>31</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795336</xdr:colOff>
      <xdr:row>31</xdr:row>
      <xdr:rowOff>152401</xdr:rowOff>
    </xdr:from>
    <xdr:ext cx="6386513" cy="727507"/>
    <mc:AlternateContent xmlns:mc="http://schemas.openxmlformats.org/markup-compatibility/2006" xmlns:a14="http://schemas.microsoft.com/office/drawing/2010/main">
      <mc:Choice Requires="a14">
        <xdr:sp macro="" textlink="">
          <xdr:nvSpPr>
            <xdr:cNvPr id="3" name="TextBox 2"/>
            <xdr:cNvSpPr txBox="1"/>
          </xdr:nvSpPr>
          <xdr:spPr>
            <a:xfrm>
              <a:off x="5491161" y="6096001"/>
              <a:ext cx="6386513"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b="0" i="1">
                        <a:latin typeface="Cambria Math" panose="02040503050406030204" pitchFamily="18" charset="0"/>
                      </a:rPr>
                      <m:t>𝐷𝑒𝑣𝑅𝑒𝑠</m:t>
                    </m:r>
                    <m:r>
                      <a:rPr lang="en-US" sz="1600" b="0" i="1">
                        <a:latin typeface="Cambria Math" panose="02040503050406030204" pitchFamily="18" charset="0"/>
                      </a:rPr>
                      <m:t>=</m:t>
                    </m:r>
                    <m:r>
                      <a:rPr lang="en-US" sz="1600" b="0" i="1">
                        <a:latin typeface="Cambria Math" panose="02040503050406030204" pitchFamily="18" charset="0"/>
                      </a:rPr>
                      <m:t>𝑠𝑛𝑔</m:t>
                    </m:r>
                    <m:r>
                      <a:rPr lang="en-US" sz="1600" b="0" i="1">
                        <a:latin typeface="Cambria Math" panose="02040503050406030204" pitchFamily="18" charset="0"/>
                      </a:rPr>
                      <m:t>(</m:t>
                    </m:r>
                    <m:sSub>
                      <m:sSubPr>
                        <m:ctrlPr>
                          <a:rPr lang="en-US" sz="1600" b="0" i="1">
                            <a:latin typeface="Cambria Math" panose="02040503050406030204" pitchFamily="18" charset="0"/>
                          </a:rPr>
                        </m:ctrlPr>
                      </m:sSubPr>
                      <m:e>
                        <m:r>
                          <a:rPr lang="en-US" sz="1600" b="0" i="1">
                            <a:latin typeface="Cambria Math" panose="02040503050406030204" pitchFamily="18" charset="0"/>
                          </a:rPr>
                          <m:t>𝑁</m:t>
                        </m:r>
                      </m:e>
                      <m:sub>
                        <m:r>
                          <a:rPr lang="en-US" sz="1600" b="0" i="1">
                            <a:latin typeface="Cambria Math" panose="02040503050406030204" pitchFamily="18" charset="0"/>
                          </a:rPr>
                          <m:t>h𝑖𝑡</m:t>
                        </m:r>
                      </m:sub>
                    </m:sSub>
                    <m:r>
                      <a:rPr lang="en-US" sz="1600" b="0" i="1">
                        <a:latin typeface="Cambria Math" panose="02040503050406030204" pitchFamily="18" charset="0"/>
                      </a:rPr>
                      <m:t>−</m:t>
                    </m:r>
                    <m:r>
                      <a:rPr lang="en-US" sz="1600" b="0" i="1">
                        <a:latin typeface="Cambria Math" panose="02040503050406030204" pitchFamily="18" charset="0"/>
                      </a:rPr>
                      <m:t>𝐸</m:t>
                    </m:r>
                    <m:sSub>
                      <m:sSubPr>
                        <m:ctrlPr>
                          <a:rPr lang="en-US" sz="1600" b="0" i="1">
                            <a:latin typeface="Cambria Math" panose="02040503050406030204" pitchFamily="18" charset="0"/>
                          </a:rPr>
                        </m:ctrlPr>
                      </m:sSubPr>
                      <m:e>
                        <m:r>
                          <a:rPr lang="en-US" sz="1600" b="0" i="1">
                            <a:latin typeface="Cambria Math" panose="02040503050406030204" pitchFamily="18" charset="0"/>
                          </a:rPr>
                          <m:t>𝑁</m:t>
                        </m:r>
                      </m:e>
                      <m:sub>
                        <m:r>
                          <a:rPr lang="en-US" sz="1600" b="0" i="1">
                            <a:latin typeface="Cambria Math" panose="02040503050406030204" pitchFamily="18" charset="0"/>
                          </a:rPr>
                          <m:t>h𝑖𝑡</m:t>
                        </m:r>
                      </m:sub>
                    </m:sSub>
                    <m:r>
                      <a:rPr lang="en-US" sz="1600" b="0" i="1">
                        <a:latin typeface="Cambria Math" panose="02040503050406030204" pitchFamily="18" charset="0"/>
                      </a:rPr>
                      <m:t>)</m:t>
                    </m:r>
                    <m:rad>
                      <m:radPr>
                        <m:degHide m:val="on"/>
                        <m:ctrlPr>
                          <a:rPr lang="en-US" sz="1600" b="0" i="1">
                            <a:latin typeface="Cambria Math" panose="02040503050406030204" pitchFamily="18" charset="0"/>
                          </a:rPr>
                        </m:ctrlPr>
                      </m:radPr>
                      <m:deg/>
                      <m:e>
                        <m:r>
                          <a:rPr lang="en-US" sz="1600" b="0" i="1">
                            <a:latin typeface="Cambria Math" panose="02040503050406030204" pitchFamily="18" charset="0"/>
                          </a:rPr>
                          <m:t>2</m:t>
                        </m:r>
                        <m:d>
                          <m:dPr>
                            <m:begChr m:val="["/>
                            <m:endChr m:val="]"/>
                            <m:ctrlPr>
                              <a:rPr lang="en-US" sz="1600" b="0" i="1">
                                <a:latin typeface="Cambria Math" panose="02040503050406030204" pitchFamily="18" charset="0"/>
                              </a:rPr>
                            </m:ctrlPr>
                          </m:dPr>
                          <m:e>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h𝑖𝑡</m:t>
                                </m:r>
                              </m:sub>
                            </m:sSub>
                            <m:func>
                              <m:funcPr>
                                <m:ctrlPr>
                                  <a:rPr lang="en-US" sz="1600" b="0" i="1">
                                    <a:solidFill>
                                      <a:schemeClr val="tx1"/>
                                    </a:solidFill>
                                    <a:effectLst/>
                                    <a:latin typeface="Cambria Math" panose="02040503050406030204" pitchFamily="18" charset="0"/>
                                    <a:ea typeface="+mn-ea"/>
                                    <a:cs typeface="+mn-cs"/>
                                  </a:rPr>
                                </m:ctrlPr>
                              </m:funcPr>
                              <m:fName>
                                <m:r>
                                  <m:rPr>
                                    <m:sty m:val="p"/>
                                  </m:rPr>
                                  <a:rPr lang="en-US" sz="1600" b="0" i="0">
                                    <a:solidFill>
                                      <a:schemeClr val="tx1"/>
                                    </a:solidFill>
                                    <a:effectLst/>
                                    <a:latin typeface="Cambria Math" panose="02040503050406030204" pitchFamily="18" charset="0"/>
                                    <a:ea typeface="+mn-ea"/>
                                    <a:cs typeface="+mn-cs"/>
                                  </a:rPr>
                                  <m:t>ln</m:t>
                                </m:r>
                              </m:fName>
                              <m:e>
                                <m:d>
                                  <m:dPr>
                                    <m:ctrlPr>
                                      <a:rPr lang="en-US" sz="1600" b="0" i="1">
                                        <a:solidFill>
                                          <a:schemeClr val="tx1"/>
                                        </a:solidFill>
                                        <a:effectLst/>
                                        <a:latin typeface="Cambria Math" panose="02040503050406030204" pitchFamily="18" charset="0"/>
                                        <a:ea typeface="+mn-ea"/>
                                        <a:cs typeface="+mn-cs"/>
                                      </a:rPr>
                                    </m:ctrlPr>
                                  </m:dPr>
                                  <m:e>
                                    <m:f>
                                      <m:fPr>
                                        <m:ctrlPr>
                                          <a:rPr lang="en-US" sz="1600" b="0" i="1">
                                            <a:solidFill>
                                              <a:schemeClr val="tx1"/>
                                            </a:solidFill>
                                            <a:effectLst/>
                                            <a:latin typeface="Cambria Math" panose="02040503050406030204" pitchFamily="18" charset="0"/>
                                            <a:ea typeface="+mn-ea"/>
                                            <a:cs typeface="+mn-cs"/>
                                          </a:rPr>
                                        </m:ctrlPr>
                                      </m:fPr>
                                      <m:num>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h𝑖𝑡</m:t>
                                            </m:r>
                                          </m:sub>
                                        </m:sSub>
                                      </m:num>
                                      <m:den>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𝐸𝑁</m:t>
                                            </m:r>
                                          </m:e>
                                          <m:sub>
                                            <m:r>
                                              <a:rPr lang="en-US" sz="1600" b="0" i="1">
                                                <a:solidFill>
                                                  <a:schemeClr val="tx1"/>
                                                </a:solidFill>
                                                <a:effectLst/>
                                                <a:latin typeface="Cambria Math" panose="02040503050406030204" pitchFamily="18" charset="0"/>
                                                <a:ea typeface="+mn-ea"/>
                                                <a:cs typeface="+mn-cs"/>
                                              </a:rPr>
                                              <m:t>h𝑖𝑡</m:t>
                                            </m:r>
                                          </m:sub>
                                        </m:sSub>
                                      </m:den>
                                    </m:f>
                                  </m:e>
                                </m:d>
                              </m:e>
                            </m:func>
                            <m:r>
                              <a:rPr lang="en-US" sz="1600" b="0" i="1">
                                <a:solidFill>
                                  <a:schemeClr val="tx1"/>
                                </a:solidFill>
                                <a:effectLst/>
                                <a:latin typeface="Cambria Math" panose="02040503050406030204" pitchFamily="18" charset="0"/>
                                <a:ea typeface="+mn-ea"/>
                                <a:cs typeface="+mn-cs"/>
                              </a:rPr>
                              <m:t>+</m:t>
                            </m:r>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𝑚𝑖𝑠𝑠</m:t>
                                </m:r>
                              </m:sub>
                            </m:sSub>
                            <m:r>
                              <a:rPr lang="en-US" sz="1600" b="0" i="1">
                                <a:solidFill>
                                  <a:schemeClr val="tx1"/>
                                </a:solidFill>
                                <a:effectLst/>
                                <a:latin typeface="Cambria Math" panose="02040503050406030204" pitchFamily="18" charset="0"/>
                                <a:ea typeface="+mn-ea"/>
                                <a:cs typeface="+mn-cs"/>
                              </a:rPr>
                              <m:t>𝑙𝑛</m:t>
                            </m:r>
                            <m:d>
                              <m:dPr>
                                <m:ctrlPr>
                                  <a:rPr lang="en-US" sz="1600" b="0" i="1">
                                    <a:solidFill>
                                      <a:schemeClr val="tx1"/>
                                    </a:solidFill>
                                    <a:effectLst/>
                                    <a:latin typeface="Cambria Math" panose="02040503050406030204" pitchFamily="18" charset="0"/>
                                    <a:ea typeface="+mn-ea"/>
                                    <a:cs typeface="+mn-cs"/>
                                  </a:rPr>
                                </m:ctrlPr>
                              </m:dPr>
                              <m:e>
                                <m:f>
                                  <m:fPr>
                                    <m:ctrlPr>
                                      <a:rPr lang="en-US" sz="1600" b="0" i="1">
                                        <a:solidFill>
                                          <a:schemeClr val="tx1"/>
                                        </a:solidFill>
                                        <a:effectLst/>
                                        <a:latin typeface="Cambria Math" panose="02040503050406030204" pitchFamily="18" charset="0"/>
                                        <a:ea typeface="+mn-ea"/>
                                        <a:cs typeface="+mn-cs"/>
                                      </a:rPr>
                                    </m:ctrlPr>
                                  </m:fPr>
                                  <m:num>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𝑚𝑖𝑠𝑠</m:t>
                                        </m:r>
                                      </m:sub>
                                    </m:sSub>
                                  </m:num>
                                  <m:den>
                                    <m:r>
                                      <a:rPr lang="en-US" sz="1600" b="0" i="1">
                                        <a:solidFill>
                                          <a:schemeClr val="tx1"/>
                                        </a:solidFill>
                                        <a:effectLst/>
                                        <a:latin typeface="Cambria Math" panose="02040503050406030204" pitchFamily="18" charset="0"/>
                                        <a:ea typeface="+mn-ea"/>
                                        <a:cs typeface="+mn-cs"/>
                                      </a:rPr>
                                      <m:t>𝐸</m:t>
                                    </m:r>
                                    <m:sSub>
                                      <m:sSubPr>
                                        <m:ctrlPr>
                                          <a:rPr lang="en-US" sz="1600" b="0" i="1">
                                            <a:solidFill>
                                              <a:schemeClr val="tx1"/>
                                            </a:solidFill>
                                            <a:effectLst/>
                                            <a:latin typeface="Cambria Math" panose="02040503050406030204" pitchFamily="18" charset="0"/>
                                            <a:ea typeface="+mn-ea"/>
                                            <a:cs typeface="+mn-cs"/>
                                          </a:rPr>
                                        </m:ctrlPr>
                                      </m:sSubPr>
                                      <m:e>
                                        <m:r>
                                          <a:rPr lang="en-US" sz="1600" b="0" i="1">
                                            <a:solidFill>
                                              <a:schemeClr val="tx1"/>
                                            </a:solidFill>
                                            <a:effectLst/>
                                            <a:latin typeface="Cambria Math" panose="02040503050406030204" pitchFamily="18" charset="0"/>
                                            <a:ea typeface="+mn-ea"/>
                                            <a:cs typeface="+mn-cs"/>
                                          </a:rPr>
                                          <m:t>𝑁</m:t>
                                        </m:r>
                                      </m:e>
                                      <m:sub>
                                        <m:r>
                                          <a:rPr lang="en-US" sz="1600" b="0" i="1">
                                            <a:solidFill>
                                              <a:schemeClr val="tx1"/>
                                            </a:solidFill>
                                            <a:effectLst/>
                                            <a:latin typeface="Cambria Math" panose="02040503050406030204" pitchFamily="18" charset="0"/>
                                            <a:ea typeface="+mn-ea"/>
                                            <a:cs typeface="+mn-cs"/>
                                          </a:rPr>
                                          <m:t>𝑚𝑖𝑠𝑠</m:t>
                                        </m:r>
                                      </m:sub>
                                    </m:sSub>
                                  </m:den>
                                </m:f>
                              </m:e>
                            </m:d>
                          </m:e>
                        </m:d>
                      </m:e>
                    </m:rad>
                  </m:oMath>
                </m:oMathPara>
              </a14:m>
              <a:endParaRPr lang="en-US" sz="1600"/>
            </a:p>
          </xdr:txBody>
        </xdr:sp>
      </mc:Choice>
      <mc:Fallback xmlns="">
        <xdr:sp macro="" textlink="">
          <xdr:nvSpPr>
            <xdr:cNvPr id="3" name="TextBox 2"/>
            <xdr:cNvSpPr txBox="1"/>
          </xdr:nvSpPr>
          <xdr:spPr>
            <a:xfrm>
              <a:off x="5491161" y="6096001"/>
              <a:ext cx="6386513"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600" b="0" i="0">
                  <a:latin typeface="Cambria Math" panose="02040503050406030204" pitchFamily="18" charset="0"/>
                </a:rPr>
                <a:t>𝐷𝑒𝑣𝑅𝑒𝑠=𝑠𝑛𝑔(𝑁_ℎ𝑖𝑡−𝐸𝑁_ℎ𝑖𝑡)√(2[</a:t>
              </a:r>
              <a:r>
                <a:rPr lang="en-US" sz="1600" b="0" i="0">
                  <a:solidFill>
                    <a:schemeClr val="tx1"/>
                  </a:solidFill>
                  <a:effectLst/>
                  <a:latin typeface="+mn-lt"/>
                  <a:ea typeface="+mn-ea"/>
                  <a:cs typeface="+mn-cs"/>
                </a:rPr>
                <a:t>𝑁_ℎ𝑖𝑡  ln⁡(𝑁_ℎ𝑖𝑡/〖</a:t>
              </a:r>
              <a:r>
                <a:rPr lang="en-US" sz="1600" b="0" i="0">
                  <a:solidFill>
                    <a:schemeClr val="tx1"/>
                  </a:solidFill>
                  <a:effectLst/>
                  <a:latin typeface="Cambria Math" panose="02040503050406030204" pitchFamily="18" charset="0"/>
                  <a:ea typeface="+mn-ea"/>
                  <a:cs typeface="+mn-cs"/>
                </a:rPr>
                <a:t>𝐸</a:t>
              </a:r>
              <a:r>
                <a:rPr lang="en-US" sz="1600" b="0" i="0">
                  <a:solidFill>
                    <a:schemeClr val="tx1"/>
                  </a:solidFill>
                  <a:effectLst/>
                  <a:latin typeface="+mn-lt"/>
                  <a:ea typeface="+mn-ea"/>
                  <a:cs typeface="+mn-cs"/>
                </a:rPr>
                <a:t>𝑁〗_</a:t>
              </a:r>
              <a:r>
                <a:rPr lang="en-US" sz="1600" b="0" i="0">
                  <a:solidFill>
                    <a:schemeClr val="tx1"/>
                  </a:solidFill>
                  <a:effectLst/>
                  <a:latin typeface="Cambria Math" panose="02040503050406030204" pitchFamily="18" charset="0"/>
                  <a:ea typeface="+mn-ea"/>
                  <a:cs typeface="+mn-cs"/>
                </a:rPr>
                <a:t>ℎ𝑖𝑡</a:t>
              </a:r>
              <a:r>
                <a:rPr lang="en-US" sz="1600" b="0" i="0">
                  <a:solidFill>
                    <a:schemeClr val="tx1"/>
                  </a:solidFill>
                  <a:effectLst/>
                  <a:latin typeface="+mn-lt"/>
                  <a:ea typeface="+mn-ea"/>
                  <a:cs typeface="+mn-cs"/>
                </a:rPr>
                <a:t> )+</a:t>
              </a:r>
              <a:r>
                <a:rPr lang="en-US" sz="1600" b="0" i="0">
                  <a:solidFill>
                    <a:schemeClr val="tx1"/>
                  </a:solidFill>
                  <a:effectLst/>
                  <a:latin typeface="Cambria Math" panose="02040503050406030204" pitchFamily="18" charset="0"/>
                  <a:ea typeface="+mn-ea"/>
                  <a:cs typeface="+mn-cs"/>
                </a:rPr>
                <a:t>𝑁_𝑚𝑖𝑠𝑠 𝑙𝑛(𝑁_𝑚𝑖𝑠𝑠/(𝐸𝑁_𝑚𝑖𝑠𝑠 ))] )</a:t>
              </a:r>
              <a:endParaRPr lang="en-US" sz="1600"/>
            </a:p>
          </xdr:txBody>
        </xdr:sp>
      </mc:Fallback>
    </mc:AlternateContent>
    <xdr:clientData/>
  </xdr:oneCellAnchor>
  <xdr:oneCellAnchor>
    <xdr:from>
      <xdr:col>6</xdr:col>
      <xdr:colOff>0</xdr:colOff>
      <xdr:row>24</xdr:row>
      <xdr:rowOff>0</xdr:rowOff>
    </xdr:from>
    <xdr:ext cx="1358898" cy="340734"/>
    <mc:AlternateContent xmlns:mc="http://schemas.openxmlformats.org/markup-compatibility/2006" xmlns:a14="http://schemas.microsoft.com/office/drawing/2010/main">
      <mc:Choice Requires="a14">
        <xdr:sp macro="" textlink="">
          <xdr:nvSpPr>
            <xdr:cNvPr id="4" name="TextBox 3"/>
            <xdr:cNvSpPr txBox="1"/>
          </xdr:nvSpPr>
          <xdr:spPr>
            <a:xfrm>
              <a:off x="5543550" y="4610100"/>
              <a:ext cx="1358898" cy="3407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func>
                    <m:funcPr>
                      <m:ctrlPr>
                        <a:rPr lang="en-US" sz="1400" b="0" i="1">
                          <a:latin typeface="Cambria Math" panose="02040503050406030204" pitchFamily="18" charset="0"/>
                        </a:rPr>
                      </m:ctrlPr>
                    </m:funcPr>
                    <m:fName>
                      <m:r>
                        <m:rPr>
                          <m:sty m:val="p"/>
                        </m:rPr>
                        <a:rPr lang="en-US" sz="1400" b="0" i="0">
                          <a:latin typeface="Cambria Math" panose="02040503050406030204" pitchFamily="18" charset="0"/>
                        </a:rPr>
                        <m:t>ln</m:t>
                      </m:r>
                    </m:fName>
                    <m:e>
                      <m:d>
                        <m:dPr>
                          <m:ctrlPr>
                            <a:rPr lang="en-US" sz="1400" b="0" i="1">
                              <a:latin typeface="Cambria Math" panose="02040503050406030204" pitchFamily="18" charset="0"/>
                            </a:rPr>
                          </m:ctrlPr>
                        </m:dPr>
                        <m:e>
                          <m:f>
                            <m:fPr>
                              <m:ctrlPr>
                                <a:rPr lang="en-US" sz="1400" b="0" i="1">
                                  <a:latin typeface="Cambria Math" panose="02040503050406030204" pitchFamily="18" charset="0"/>
                                </a:rPr>
                              </m:ctrlPr>
                            </m:fPr>
                            <m:num>
                              <m:r>
                                <a:rPr lang="en-US" sz="1400" b="0" i="1">
                                  <a:latin typeface="Cambria Math" panose="02040503050406030204" pitchFamily="18" charset="0"/>
                                </a:rPr>
                                <m:t>𝑝</m:t>
                              </m:r>
                            </m:num>
                            <m:den>
                              <m:r>
                                <a:rPr lang="en-US" sz="1400" b="0" i="1">
                                  <a:latin typeface="Cambria Math" panose="02040503050406030204" pitchFamily="18" charset="0"/>
                                </a:rPr>
                                <m:t>1−</m:t>
                              </m:r>
                              <m:r>
                                <a:rPr lang="en-US" sz="1400" b="0" i="1">
                                  <a:latin typeface="Cambria Math" panose="02040503050406030204" pitchFamily="18" charset="0"/>
                                </a:rPr>
                                <m:t>𝑝</m:t>
                              </m:r>
                            </m:den>
                          </m:f>
                        </m:e>
                      </m:d>
                    </m:e>
                  </m:func>
                  <m:r>
                    <a:rPr lang="en-US" sz="1400" b="0" i="1">
                      <a:latin typeface="Cambria Math" panose="02040503050406030204" pitchFamily="18" charset="0"/>
                    </a:rPr>
                    <m:t>=</m:t>
                  </m:r>
                  <m:r>
                    <a:rPr lang="en-US" sz="1400" b="0" i="1">
                      <a:latin typeface="Cambria Math" panose="02040503050406030204" pitchFamily="18" charset="0"/>
                    </a:rPr>
                    <m:t>𝑎</m:t>
                  </m:r>
                  <m:r>
                    <a:rPr lang="en-US" sz="1400" b="0" i="1">
                      <a:latin typeface="Cambria Math" panose="02040503050406030204" pitchFamily="18" charset="0"/>
                    </a:rPr>
                    <m:t>+</m:t>
                  </m:r>
                  <m:r>
                    <a:rPr lang="en-US" sz="1400" b="0" i="1">
                      <a:latin typeface="Cambria Math" panose="02040503050406030204" pitchFamily="18" charset="0"/>
                    </a:rPr>
                    <m:t>𝑏</m:t>
                  </m:r>
                </m:oMath>
              </a14:m>
              <a:r>
                <a:rPr lang="en-US" sz="1400"/>
                <a:t>C</a:t>
              </a:r>
            </a:p>
          </xdr:txBody>
        </xdr:sp>
      </mc:Choice>
      <mc:Fallback xmlns="">
        <xdr:sp macro="" textlink="">
          <xdr:nvSpPr>
            <xdr:cNvPr id="4" name="TextBox 3"/>
            <xdr:cNvSpPr txBox="1"/>
          </xdr:nvSpPr>
          <xdr:spPr>
            <a:xfrm>
              <a:off x="5543550" y="4610100"/>
              <a:ext cx="1358898" cy="3407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400" b="0" i="0">
                  <a:latin typeface="Cambria Math" panose="02040503050406030204" pitchFamily="18" charset="0"/>
                </a:rPr>
                <a:t>ln⁡(𝑝/(1−𝑝))=𝑎+𝑏</a:t>
              </a:r>
              <a:r>
                <a:rPr lang="en-US" sz="1400"/>
                <a:t>C</a:t>
              </a:r>
            </a:p>
          </xdr:txBody>
        </xdr:sp>
      </mc:Fallback>
    </mc:AlternateContent>
    <xdr:clientData/>
  </xdr:oneCellAnchor>
  <xdr:oneCellAnchor>
    <xdr:from>
      <xdr:col>6</xdr:col>
      <xdr:colOff>38100</xdr:colOff>
      <xdr:row>26</xdr:row>
      <xdr:rowOff>161925</xdr:rowOff>
    </xdr:from>
    <xdr:ext cx="1303306" cy="503343"/>
    <mc:AlternateContent xmlns:mc="http://schemas.openxmlformats.org/markup-compatibility/2006" xmlns:a14="http://schemas.microsoft.com/office/drawing/2010/main">
      <mc:Choice Requires="a14">
        <xdr:sp macro="" textlink="">
          <xdr:nvSpPr>
            <xdr:cNvPr id="5" name="TextBox 4"/>
            <xdr:cNvSpPr txBox="1"/>
          </xdr:nvSpPr>
          <xdr:spPr>
            <a:xfrm>
              <a:off x="5581650" y="5153025"/>
              <a:ext cx="1303306" cy="503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600" b="0" i="1">
                        <a:latin typeface="Cambria Math" panose="02040503050406030204" pitchFamily="18" charset="0"/>
                      </a:rPr>
                      <m:t>𝑝</m:t>
                    </m:r>
                    <m:r>
                      <a:rPr lang="en-US" sz="1600" b="0" i="1">
                        <a:latin typeface="Cambria Math" panose="02040503050406030204" pitchFamily="18" charset="0"/>
                      </a:rPr>
                      <m:t>=</m:t>
                    </m:r>
                    <m:f>
                      <m:fPr>
                        <m:ctrlPr>
                          <a:rPr lang="en-US" sz="1600" b="0" i="1">
                            <a:latin typeface="Cambria Math" panose="02040503050406030204" pitchFamily="18" charset="0"/>
                          </a:rPr>
                        </m:ctrlPr>
                      </m:fPr>
                      <m:num>
                        <m:sSup>
                          <m:sSupPr>
                            <m:ctrlPr>
                              <a:rPr lang="en-US" sz="1600" b="0" i="1">
                                <a:latin typeface="Cambria Math" panose="02040503050406030204" pitchFamily="18" charset="0"/>
                              </a:rPr>
                            </m:ctrlPr>
                          </m:sSupPr>
                          <m:e>
                            <m:r>
                              <a:rPr lang="en-US" sz="1600" b="0" i="1">
                                <a:latin typeface="Cambria Math" panose="02040503050406030204" pitchFamily="18" charset="0"/>
                              </a:rPr>
                              <m:t>𝑒</m:t>
                            </m:r>
                          </m:e>
                          <m:sup>
                            <m:r>
                              <a:rPr lang="en-US" sz="1600" b="0" i="1">
                                <a:latin typeface="Cambria Math" panose="02040503050406030204" pitchFamily="18" charset="0"/>
                              </a:rPr>
                              <m:t>𝑎</m:t>
                            </m:r>
                            <m:r>
                              <a:rPr lang="en-US" sz="1600" b="0" i="1">
                                <a:latin typeface="Cambria Math" panose="02040503050406030204" pitchFamily="18" charset="0"/>
                              </a:rPr>
                              <m:t>+</m:t>
                            </m:r>
                            <m:r>
                              <a:rPr lang="en-US" sz="1600" b="0" i="1">
                                <a:latin typeface="Cambria Math" panose="02040503050406030204" pitchFamily="18" charset="0"/>
                              </a:rPr>
                              <m:t>𝑏𝐶</m:t>
                            </m:r>
                          </m:sup>
                        </m:sSup>
                      </m:num>
                      <m:den>
                        <m:r>
                          <a:rPr lang="en-US" sz="1600" b="0" i="1">
                            <a:latin typeface="Cambria Math" panose="02040503050406030204" pitchFamily="18" charset="0"/>
                          </a:rPr>
                          <m:t>1+</m:t>
                        </m:r>
                        <m:sSup>
                          <m:sSupPr>
                            <m:ctrlPr>
                              <a:rPr lang="en-US" sz="1600" b="0" i="1">
                                <a:latin typeface="Cambria Math" panose="02040503050406030204" pitchFamily="18" charset="0"/>
                              </a:rPr>
                            </m:ctrlPr>
                          </m:sSupPr>
                          <m:e>
                            <m:r>
                              <a:rPr lang="en-US" sz="1600" b="0" i="1">
                                <a:latin typeface="Cambria Math" panose="02040503050406030204" pitchFamily="18" charset="0"/>
                              </a:rPr>
                              <m:t>𝑒</m:t>
                            </m:r>
                          </m:e>
                          <m:sup>
                            <m:r>
                              <a:rPr lang="en-US" sz="1600" b="0" i="1">
                                <a:latin typeface="Cambria Math" panose="02040503050406030204" pitchFamily="18" charset="0"/>
                              </a:rPr>
                              <m:t>𝑎</m:t>
                            </m:r>
                            <m:r>
                              <a:rPr lang="en-US" sz="1600" b="0" i="1">
                                <a:latin typeface="Cambria Math" panose="02040503050406030204" pitchFamily="18" charset="0"/>
                              </a:rPr>
                              <m:t>+</m:t>
                            </m:r>
                            <m:r>
                              <a:rPr lang="en-US" sz="1600" b="0" i="1">
                                <a:latin typeface="Cambria Math" panose="02040503050406030204" pitchFamily="18" charset="0"/>
                              </a:rPr>
                              <m:t>𝑏𝐶</m:t>
                            </m:r>
                          </m:sup>
                        </m:sSup>
                      </m:den>
                    </m:f>
                  </m:oMath>
                </m:oMathPara>
              </a14:m>
              <a:endParaRPr lang="en-US" sz="1600"/>
            </a:p>
          </xdr:txBody>
        </xdr:sp>
      </mc:Choice>
      <mc:Fallback xmlns="">
        <xdr:sp macro="" textlink="">
          <xdr:nvSpPr>
            <xdr:cNvPr id="5" name="TextBox 4"/>
            <xdr:cNvSpPr txBox="1"/>
          </xdr:nvSpPr>
          <xdr:spPr>
            <a:xfrm>
              <a:off x="5581650" y="5153025"/>
              <a:ext cx="1303306" cy="503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600" b="0" i="0">
                  <a:latin typeface="Cambria Math" panose="02040503050406030204" pitchFamily="18" charset="0"/>
                </a:rPr>
                <a:t>𝑝=𝑒^(𝑎+𝑏𝐶)/(1+𝑒^(𝑎+𝑏𝐶) )</a:t>
              </a:r>
              <a:endParaRPr lang="en-US" sz="16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1"/>
  <sheetViews>
    <sheetView topLeftCell="A4" workbookViewId="0">
      <selection activeCell="K37" sqref="K37"/>
    </sheetView>
  </sheetViews>
  <sheetFormatPr defaultRowHeight="15" x14ac:dyDescent="0.25"/>
  <cols>
    <col min="1" max="1" width="8.140625" bestFit="1" customWidth="1"/>
    <col min="2" max="2" width="7.140625" bestFit="1" customWidth="1"/>
    <col min="3" max="3" width="12" bestFit="1" customWidth="1"/>
  </cols>
  <sheetData>
    <row r="1" spans="1:9" x14ac:dyDescent="0.25">
      <c r="A1" s="1" t="s">
        <v>118</v>
      </c>
      <c r="B1" s="1" t="s">
        <v>117</v>
      </c>
      <c r="C1" s="1" t="s">
        <v>116</v>
      </c>
      <c r="D1" s="1" t="s">
        <v>6</v>
      </c>
      <c r="E1" s="1" t="s">
        <v>160</v>
      </c>
      <c r="F1" s="1" t="s">
        <v>159</v>
      </c>
      <c r="G1" s="1" t="s">
        <v>155</v>
      </c>
      <c r="I1" t="s">
        <v>115</v>
      </c>
    </row>
    <row r="2" spans="1:9" x14ac:dyDescent="0.25">
      <c r="A2">
        <v>53</v>
      </c>
      <c r="B2">
        <v>1</v>
      </c>
      <c r="C2">
        <f t="shared" ref="C2:C25" si="0">EXP(B$26+B$27*A2)/(1+EXP(B$26+B$27*A2))</f>
        <v>0.8575834752880066</v>
      </c>
      <c r="D2">
        <f>LN(_xlfn.BINOM.DIST(B2,1,C2,FALSE))</f>
        <v>-0.15363675740533725</v>
      </c>
      <c r="E2">
        <f>LN(BINOMDIST(B2,1,B2,FALSE))</f>
        <v>0</v>
      </c>
      <c r="F2">
        <f>LN(_xlfn.BINOM.DIST(B2,1,B$29,FALSE))</f>
        <v>-1.2321436812926323</v>
      </c>
      <c r="G2">
        <f>SIGN(B2-C2)*SQRT(2*( IF(B2=1, B2*LN(B2/C2),(1-B2)*LN((1-B2)/(1-C2)))))</f>
        <v>0.55432257288574727</v>
      </c>
      <c r="I2" t="s">
        <v>114</v>
      </c>
    </row>
    <row r="3" spans="1:9" x14ac:dyDescent="0.25">
      <c r="A3">
        <v>56</v>
      </c>
      <c r="B3">
        <v>1</v>
      </c>
      <c r="C3">
        <f t="shared" si="0"/>
        <v>0.78268814734379466</v>
      </c>
      <c r="D3">
        <f t="shared" ref="D3:D25" si="1">LN(_xlfn.BINOM.DIST(B3,1,C3,FALSE))</f>
        <v>-0.24502094157999463</v>
      </c>
      <c r="E3">
        <f t="shared" ref="E3:E25" si="2">LN(BINOMDIST(B3,1,B3,FALSE))</f>
        <v>0</v>
      </c>
      <c r="F3">
        <f t="shared" ref="F3:F25" si="3">LN(_xlfn.BINOM.DIST(B3,1,B$29,FALSE))</f>
        <v>-1.2321436812926323</v>
      </c>
      <c r="G3">
        <f t="shared" ref="G3:G25" si="4">SIGN(B3-C3)*SQRT(2*( IF(B3=1, B3*LN(B3/C3),(1-B3)*LN((1-B3)/(1-C3)))))</f>
        <v>0.70002991590359143</v>
      </c>
      <c r="I3" t="s">
        <v>113</v>
      </c>
    </row>
    <row r="4" spans="1:9" x14ac:dyDescent="0.25">
      <c r="A4">
        <v>57</v>
      </c>
      <c r="B4">
        <v>1</v>
      </c>
      <c r="C4">
        <f t="shared" si="0"/>
        <v>0.75214409651424541</v>
      </c>
      <c r="D4">
        <f t="shared" si="1"/>
        <v>-0.2848273556835112</v>
      </c>
      <c r="E4">
        <f t="shared" si="2"/>
        <v>0</v>
      </c>
      <c r="F4">
        <f t="shared" si="3"/>
        <v>-1.2321436812926323</v>
      </c>
      <c r="G4">
        <f t="shared" si="4"/>
        <v>0.75475473590234765</v>
      </c>
      <c r="I4" t="s">
        <v>112</v>
      </c>
    </row>
    <row r="5" spans="1:9" x14ac:dyDescent="0.25">
      <c r="A5">
        <v>63</v>
      </c>
      <c r="B5">
        <v>0</v>
      </c>
      <c r="C5">
        <f t="shared" si="0"/>
        <v>0.52052776058936134</v>
      </c>
      <c r="D5">
        <f t="shared" si="1"/>
        <v>-0.73506928120294068</v>
      </c>
      <c r="E5">
        <f t="shared" si="2"/>
        <v>0</v>
      </c>
      <c r="F5">
        <f t="shared" si="3"/>
        <v>-0.34484048629172964</v>
      </c>
      <c r="G5">
        <f t="shared" si="4"/>
        <v>-1.2124927061248167</v>
      </c>
      <c r="I5" t="s">
        <v>111</v>
      </c>
    </row>
    <row r="6" spans="1:9" x14ac:dyDescent="0.25">
      <c r="A6">
        <v>66</v>
      </c>
      <c r="B6">
        <v>0</v>
      </c>
      <c r="C6">
        <f t="shared" si="0"/>
        <v>0.39369555062101713</v>
      </c>
      <c r="D6">
        <f t="shared" si="1"/>
        <v>-0.50037302735479527</v>
      </c>
      <c r="E6">
        <f t="shared" si="2"/>
        <v>0</v>
      </c>
      <c r="F6">
        <f t="shared" si="3"/>
        <v>-0.34484048629172964</v>
      </c>
      <c r="G6">
        <f t="shared" si="4"/>
        <v>-1.0003729578060327</v>
      </c>
      <c r="I6" t="s">
        <v>110</v>
      </c>
    </row>
    <row r="7" spans="1:9" x14ac:dyDescent="0.25">
      <c r="A7">
        <v>67</v>
      </c>
      <c r="B7">
        <v>0</v>
      </c>
      <c r="C7">
        <f t="shared" si="0"/>
        <v>0.35362909600366749</v>
      </c>
      <c r="D7">
        <f t="shared" si="1"/>
        <v>-0.4363817851702505</v>
      </c>
      <c r="E7">
        <f t="shared" si="2"/>
        <v>0</v>
      </c>
      <c r="F7">
        <f t="shared" si="3"/>
        <v>-0.34484048629172964</v>
      </c>
      <c r="G7">
        <f t="shared" si="4"/>
        <v>-0.93421815992866497</v>
      </c>
      <c r="I7" t="s">
        <v>109</v>
      </c>
    </row>
    <row r="8" spans="1:9" x14ac:dyDescent="0.25">
      <c r="A8">
        <v>67</v>
      </c>
      <c r="B8">
        <v>0</v>
      </c>
      <c r="C8">
        <f t="shared" si="0"/>
        <v>0.35362909600366749</v>
      </c>
      <c r="D8">
        <f t="shared" si="1"/>
        <v>-0.4363817851702505</v>
      </c>
      <c r="E8">
        <f t="shared" si="2"/>
        <v>0</v>
      </c>
      <c r="F8">
        <f t="shared" si="3"/>
        <v>-0.34484048629172964</v>
      </c>
      <c r="G8">
        <f t="shared" si="4"/>
        <v>-0.93421815992866497</v>
      </c>
      <c r="I8" t="s">
        <v>208</v>
      </c>
    </row>
    <row r="9" spans="1:9" x14ac:dyDescent="0.25">
      <c r="A9">
        <v>67</v>
      </c>
      <c r="B9">
        <v>0</v>
      </c>
      <c r="C9">
        <f t="shared" si="0"/>
        <v>0.35362909600366749</v>
      </c>
      <c r="D9">
        <f t="shared" si="1"/>
        <v>-0.4363817851702505</v>
      </c>
      <c r="E9">
        <f t="shared" si="2"/>
        <v>0</v>
      </c>
      <c r="F9">
        <f t="shared" si="3"/>
        <v>-0.34484048629172964</v>
      </c>
      <c r="G9">
        <f t="shared" si="4"/>
        <v>-0.93421815992866497</v>
      </c>
      <c r="I9" t="s">
        <v>108</v>
      </c>
    </row>
    <row r="10" spans="1:9" x14ac:dyDescent="0.25">
      <c r="A10">
        <v>68</v>
      </c>
      <c r="B10">
        <v>0</v>
      </c>
      <c r="C10">
        <f t="shared" si="0"/>
        <v>0.31551826080972922</v>
      </c>
      <c r="D10">
        <f t="shared" si="1"/>
        <v>-0.37909331219857245</v>
      </c>
      <c r="E10">
        <f t="shared" si="2"/>
        <v>0</v>
      </c>
      <c r="F10">
        <f t="shared" si="3"/>
        <v>-0.34484048629172964</v>
      </c>
      <c r="G10">
        <f t="shared" si="4"/>
        <v>-0.87073912533958453</v>
      </c>
      <c r="I10" t="s">
        <v>107</v>
      </c>
    </row>
    <row r="11" spans="1:9" x14ac:dyDescent="0.25">
      <c r="A11">
        <v>69</v>
      </c>
      <c r="B11">
        <v>0</v>
      </c>
      <c r="C11">
        <f t="shared" si="0"/>
        <v>0.27973712357991248</v>
      </c>
      <c r="D11">
        <f t="shared" si="1"/>
        <v>-0.32813902746805318</v>
      </c>
      <c r="E11">
        <f t="shared" si="2"/>
        <v>0</v>
      </c>
      <c r="F11">
        <f t="shared" si="3"/>
        <v>-0.34484048629172964</v>
      </c>
      <c r="G11">
        <f t="shared" si="4"/>
        <v>-0.81010990299841812</v>
      </c>
      <c r="I11" t="s">
        <v>106</v>
      </c>
    </row>
    <row r="12" spans="1:9" x14ac:dyDescent="0.25">
      <c r="A12">
        <v>70</v>
      </c>
      <c r="B12">
        <v>0</v>
      </c>
      <c r="C12">
        <f t="shared" si="0"/>
        <v>0.24655211516653328</v>
      </c>
      <c r="D12">
        <f t="shared" si="1"/>
        <v>-0.28309542743033977</v>
      </c>
      <c r="E12">
        <f t="shared" si="2"/>
        <v>0</v>
      </c>
      <c r="F12">
        <f t="shared" si="3"/>
        <v>-0.34484048629172964</v>
      </c>
      <c r="G12">
        <f t="shared" si="4"/>
        <v>-0.75245654682558216</v>
      </c>
      <c r="I12" t="s">
        <v>105</v>
      </c>
    </row>
    <row r="13" spans="1:9" x14ac:dyDescent="0.25">
      <c r="A13">
        <v>70</v>
      </c>
      <c r="B13">
        <v>1</v>
      </c>
      <c r="C13">
        <f t="shared" si="0"/>
        <v>0.24655211516653328</v>
      </c>
      <c r="D13">
        <f t="shared" si="1"/>
        <v>-1.4001818872916805</v>
      </c>
      <c r="E13">
        <f t="shared" si="2"/>
        <v>0</v>
      </c>
      <c r="F13">
        <f t="shared" si="3"/>
        <v>-1.2321436812926323</v>
      </c>
      <c r="G13">
        <f t="shared" si="4"/>
        <v>1.6734287479852141</v>
      </c>
      <c r="I13" t="s">
        <v>128</v>
      </c>
    </row>
    <row r="14" spans="1:9" x14ac:dyDescent="0.25">
      <c r="A14">
        <v>70</v>
      </c>
      <c r="B14">
        <v>1</v>
      </c>
      <c r="C14">
        <f t="shared" si="0"/>
        <v>0.24655211516653328</v>
      </c>
      <c r="D14">
        <f t="shared" si="1"/>
        <v>-1.4001818872916805</v>
      </c>
      <c r="E14">
        <f t="shared" si="2"/>
        <v>0</v>
      </c>
      <c r="F14">
        <f t="shared" si="3"/>
        <v>-1.2321436812926323</v>
      </c>
      <c r="G14">
        <f t="shared" si="4"/>
        <v>1.6734287479852141</v>
      </c>
    </row>
    <row r="15" spans="1:9" x14ac:dyDescent="0.25">
      <c r="A15">
        <v>70</v>
      </c>
      <c r="B15">
        <v>1</v>
      </c>
      <c r="C15">
        <f t="shared" si="0"/>
        <v>0.24655211516653328</v>
      </c>
      <c r="D15">
        <f t="shared" si="1"/>
        <v>-1.4001818872916805</v>
      </c>
      <c r="E15">
        <f t="shared" si="2"/>
        <v>0</v>
      </c>
      <c r="F15">
        <f t="shared" si="3"/>
        <v>-1.2321436812926323</v>
      </c>
      <c r="G15">
        <f t="shared" si="4"/>
        <v>1.6734287479852141</v>
      </c>
      <c r="I15" t="s">
        <v>104</v>
      </c>
    </row>
    <row r="16" spans="1:9" x14ac:dyDescent="0.25">
      <c r="A16">
        <v>72</v>
      </c>
      <c r="B16">
        <v>0</v>
      </c>
      <c r="C16">
        <f t="shared" si="0"/>
        <v>0.18850900505043144</v>
      </c>
      <c r="D16">
        <f t="shared" si="1"/>
        <v>-0.20888198888564941</v>
      </c>
      <c r="E16">
        <f t="shared" si="2"/>
        <v>0</v>
      </c>
      <c r="F16">
        <f t="shared" si="3"/>
        <v>-0.34484048629172964</v>
      </c>
      <c r="G16">
        <f t="shared" si="4"/>
        <v>-0.64634663901910938</v>
      </c>
      <c r="I16" t="s">
        <v>103</v>
      </c>
    </row>
    <row r="17" spans="1:10" x14ac:dyDescent="0.25">
      <c r="A17">
        <v>73</v>
      </c>
      <c r="B17">
        <v>0</v>
      </c>
      <c r="C17">
        <f t="shared" si="0"/>
        <v>0.16368684105268227</v>
      </c>
      <c r="D17">
        <f t="shared" si="1"/>
        <v>-0.17875214399727252</v>
      </c>
      <c r="E17">
        <f t="shared" si="2"/>
        <v>0</v>
      </c>
      <c r="F17">
        <f t="shared" si="3"/>
        <v>-0.34484048629172964</v>
      </c>
      <c r="G17">
        <f t="shared" si="4"/>
        <v>-0.59791662294549497</v>
      </c>
      <c r="I17" t="s">
        <v>102</v>
      </c>
    </row>
    <row r="18" spans="1:10" x14ac:dyDescent="0.25">
      <c r="A18">
        <v>75</v>
      </c>
      <c r="B18">
        <v>0</v>
      </c>
      <c r="C18">
        <f t="shared" si="0"/>
        <v>0.12199319381973596</v>
      </c>
      <c r="D18">
        <f t="shared" si="1"/>
        <v>-0.13010093346332594</v>
      </c>
      <c r="E18">
        <f t="shared" si="2"/>
        <v>0</v>
      </c>
      <c r="F18">
        <f t="shared" si="3"/>
        <v>-0.34484048629172964</v>
      </c>
      <c r="G18">
        <f t="shared" si="4"/>
        <v>-0.51009985975949046</v>
      </c>
      <c r="I18" s="1" t="s">
        <v>36</v>
      </c>
      <c r="J18" s="1" t="s">
        <v>37</v>
      </c>
    </row>
    <row r="19" spans="1:10" x14ac:dyDescent="0.25">
      <c r="A19">
        <v>75</v>
      </c>
      <c r="B19">
        <v>1</v>
      </c>
      <c r="C19">
        <f t="shared" si="0"/>
        <v>0.12199319381973596</v>
      </c>
      <c r="D19">
        <f t="shared" si="1"/>
        <v>-2.103790024167929</v>
      </c>
      <c r="E19">
        <f t="shared" si="2"/>
        <v>0</v>
      </c>
      <c r="F19">
        <f t="shared" si="3"/>
        <v>-1.2321436812926323</v>
      </c>
      <c r="G19">
        <f t="shared" si="4"/>
        <v>2.0512386619639993</v>
      </c>
      <c r="I19">
        <v>10.875347571461424</v>
      </c>
      <c r="J19">
        <v>-0.17132048896865174</v>
      </c>
    </row>
    <row r="20" spans="1:10" x14ac:dyDescent="0.25">
      <c r="A20">
        <v>76</v>
      </c>
      <c r="B20">
        <v>0</v>
      </c>
      <c r="C20">
        <f t="shared" si="0"/>
        <v>0.10479847719515695</v>
      </c>
      <c r="D20">
        <f t="shared" si="1"/>
        <v>-0.11070642090807226</v>
      </c>
      <c r="E20">
        <f t="shared" si="2"/>
        <v>0</v>
      </c>
      <c r="F20">
        <f t="shared" si="3"/>
        <v>-0.34484048629172964</v>
      </c>
      <c r="G20">
        <f t="shared" si="4"/>
        <v>-0.47054526011441722</v>
      </c>
      <c r="I20" t="s">
        <v>129</v>
      </c>
    </row>
    <row r="21" spans="1:10" x14ac:dyDescent="0.25">
      <c r="A21">
        <v>76</v>
      </c>
      <c r="B21">
        <v>0</v>
      </c>
      <c r="C21">
        <f t="shared" si="0"/>
        <v>0.10479847719515695</v>
      </c>
      <c r="D21">
        <f t="shared" si="1"/>
        <v>-0.11070642090807226</v>
      </c>
      <c r="E21">
        <f t="shared" si="2"/>
        <v>0</v>
      </c>
      <c r="F21">
        <f t="shared" si="3"/>
        <v>-0.34484048629172964</v>
      </c>
      <c r="G21">
        <f t="shared" si="4"/>
        <v>-0.47054526011441722</v>
      </c>
      <c r="I21" t="s">
        <v>101</v>
      </c>
    </row>
    <row r="22" spans="1:10" x14ac:dyDescent="0.25">
      <c r="A22">
        <v>78</v>
      </c>
      <c r="B22">
        <v>0</v>
      </c>
      <c r="C22">
        <f t="shared" si="0"/>
        <v>7.6728461364681311E-2</v>
      </c>
      <c r="D22">
        <f t="shared" si="1"/>
        <v>-7.9831896374204625E-2</v>
      </c>
      <c r="E22">
        <f t="shared" si="2"/>
        <v>0</v>
      </c>
      <c r="F22">
        <f t="shared" si="3"/>
        <v>-0.34484048629172964</v>
      </c>
      <c r="G22">
        <f t="shared" si="4"/>
        <v>-0.39957951993115109</v>
      </c>
      <c r="I22" s="7" t="s">
        <v>156</v>
      </c>
    </row>
    <row r="23" spans="1:10" x14ac:dyDescent="0.25">
      <c r="A23">
        <v>79</v>
      </c>
      <c r="B23">
        <v>0</v>
      </c>
      <c r="C23">
        <f t="shared" si="0"/>
        <v>6.543822294252602E-2</v>
      </c>
      <c r="D23">
        <f t="shared" si="1"/>
        <v>-6.7677547200897428E-2</v>
      </c>
      <c r="E23">
        <f t="shared" si="2"/>
        <v>0</v>
      </c>
      <c r="F23">
        <f t="shared" si="3"/>
        <v>-0.34484048629172964</v>
      </c>
      <c r="G23">
        <f t="shared" si="4"/>
        <v>-0.36790636635127016</v>
      </c>
      <c r="I23" s="7" t="s">
        <v>157</v>
      </c>
    </row>
    <row r="24" spans="1:10" x14ac:dyDescent="0.25">
      <c r="A24">
        <v>80</v>
      </c>
      <c r="B24">
        <v>0</v>
      </c>
      <c r="C24">
        <f t="shared" si="0"/>
        <v>5.5709049766588803E-2</v>
      </c>
      <c r="D24">
        <f t="shared" si="1"/>
        <v>-5.7320950330558819E-2</v>
      </c>
      <c r="E24">
        <f t="shared" si="2"/>
        <v>0</v>
      </c>
      <c r="F24">
        <f t="shared" si="3"/>
        <v>-0.34484048629172964</v>
      </c>
      <c r="G24">
        <f t="shared" si="4"/>
        <v>-0.33858809881789687</v>
      </c>
      <c r="I24" s="7" t="s">
        <v>38</v>
      </c>
    </row>
    <row r="25" spans="1:10" x14ac:dyDescent="0.25">
      <c r="A25">
        <v>81</v>
      </c>
      <c r="B25">
        <v>0</v>
      </c>
      <c r="C25">
        <f t="shared" si="0"/>
        <v>4.7353090333687869E-2</v>
      </c>
      <c r="D25">
        <f t="shared" si="1"/>
        <v>-4.8510948004265961E-2</v>
      </c>
      <c r="E25">
        <f t="shared" si="2"/>
        <v>0</v>
      </c>
      <c r="F25">
        <f t="shared" si="3"/>
        <v>-0.34484048629172964</v>
      </c>
      <c r="G25">
        <f t="shared" si="4"/>
        <v>-0.31148337998765208</v>
      </c>
      <c r="I25" s="7" t="s">
        <v>130</v>
      </c>
    </row>
    <row r="26" spans="1:10" ht="15.75" thickBot="1" x14ac:dyDescent="0.3">
      <c r="A26" s="1" t="s">
        <v>126</v>
      </c>
      <c r="B26">
        <v>10.875350371944329</v>
      </c>
      <c r="C26" s="1" t="s">
        <v>125</v>
      </c>
      <c r="D26">
        <f>SUM(D2:D25)</f>
        <v>-11.515225421949584</v>
      </c>
      <c r="E26">
        <f t="shared" ref="E26:F26" si="5">SUM(E2:E25)</f>
        <v>0</v>
      </c>
      <c r="F26">
        <f t="shared" si="5"/>
        <v>-14.487294036007835</v>
      </c>
      <c r="G26">
        <f>SUM(G2:G25)</f>
        <v>-2.4812045953100004</v>
      </c>
      <c r="I26" t="s">
        <v>100</v>
      </c>
    </row>
    <row r="27" spans="1:10" ht="15.75" thickBot="1" x14ac:dyDescent="0.3">
      <c r="A27" s="1" t="s">
        <v>127</v>
      </c>
      <c r="B27">
        <v>-0.17132052616865243</v>
      </c>
      <c r="C27" s="17" t="s">
        <v>171</v>
      </c>
      <c r="D27" s="18">
        <f>-2*D26+2*2</f>
        <v>27.030450843899168</v>
      </c>
      <c r="E27" s="18">
        <f>-2*E26+2*24</f>
        <v>48</v>
      </c>
      <c r="F27" s="19">
        <f>-2*F26+2*1</f>
        <v>30.974588072015671</v>
      </c>
      <c r="I27" t="s">
        <v>99</v>
      </c>
    </row>
    <row r="28" spans="1:10" x14ac:dyDescent="0.25">
      <c r="C28" s="9"/>
      <c r="D28" s="10" t="s">
        <v>168</v>
      </c>
      <c r="E28" s="10" t="s">
        <v>20</v>
      </c>
      <c r="F28" s="11" t="s">
        <v>169</v>
      </c>
      <c r="I28" t="s">
        <v>98</v>
      </c>
    </row>
    <row r="29" spans="1:10" x14ac:dyDescent="0.25">
      <c r="A29" t="s">
        <v>158</v>
      </c>
      <c r="B29">
        <f>COUNTIF(B2:B25,1)/COUNT(B2:B25)</f>
        <v>0.29166666666666669</v>
      </c>
      <c r="C29" s="12" t="s">
        <v>166</v>
      </c>
      <c r="D29" s="8">
        <f>2*(E26-F26)</f>
        <v>28.974588072015671</v>
      </c>
      <c r="E29" s="8">
        <v>23</v>
      </c>
      <c r="F29" s="13">
        <f>_xlfn.CHISQ.DIST.RT(D29,E29)</f>
        <v>0.18115383214537673</v>
      </c>
      <c r="G29" t="s">
        <v>172</v>
      </c>
      <c r="I29" t="s">
        <v>97</v>
      </c>
    </row>
    <row r="30" spans="1:10" x14ac:dyDescent="0.25">
      <c r="C30" s="12" t="s">
        <v>167</v>
      </c>
      <c r="D30" s="8">
        <f>2*(E26-D26)</f>
        <v>23.030450843899168</v>
      </c>
      <c r="E30" s="8">
        <v>22</v>
      </c>
      <c r="F30" s="13">
        <f>_xlfn.CHISQ.DIST.RT(D30,E30)</f>
        <v>0.40001183758855624</v>
      </c>
      <c r="G30" t="s">
        <v>173</v>
      </c>
      <c r="I30" t="s">
        <v>209</v>
      </c>
    </row>
    <row r="31" spans="1:10" ht="15.75" thickBot="1" x14ac:dyDescent="0.3">
      <c r="C31" s="14" t="s">
        <v>170</v>
      </c>
      <c r="D31" s="15">
        <f>2*(D26-F26)</f>
        <v>5.944137228116503</v>
      </c>
      <c r="E31" s="15">
        <v>1</v>
      </c>
      <c r="F31" s="16">
        <f>_xlfn.CHISQ.DIST.RT(D31,E31)</f>
        <v>1.4766317288279474E-2</v>
      </c>
      <c r="G31" t="s">
        <v>174</v>
      </c>
      <c r="I31" t="s">
        <v>96</v>
      </c>
    </row>
    <row r="32" spans="1:10" x14ac:dyDescent="0.25">
      <c r="A32" t="s">
        <v>161</v>
      </c>
      <c r="C32" s="8"/>
      <c r="D32" s="8"/>
      <c r="E32" s="8"/>
      <c r="F32" s="8"/>
      <c r="I32" t="s">
        <v>95</v>
      </c>
    </row>
    <row r="33" spans="1:10" x14ac:dyDescent="0.25">
      <c r="A33" t="s">
        <v>163</v>
      </c>
      <c r="I33" t="s">
        <v>94</v>
      </c>
    </row>
    <row r="34" spans="1:10" x14ac:dyDescent="0.25">
      <c r="A34" t="s">
        <v>162</v>
      </c>
      <c r="I34" t="s">
        <v>210</v>
      </c>
    </row>
    <row r="35" spans="1:10" x14ac:dyDescent="0.25">
      <c r="A35" t="s">
        <v>164</v>
      </c>
      <c r="I35" t="s">
        <v>93</v>
      </c>
    </row>
    <row r="36" spans="1:10" x14ac:dyDescent="0.25">
      <c r="A36" t="s">
        <v>165</v>
      </c>
      <c r="I36" t="s">
        <v>92</v>
      </c>
    </row>
    <row r="37" spans="1:10" x14ac:dyDescent="0.25">
      <c r="A37" t="s">
        <v>179</v>
      </c>
      <c r="I37" t="s">
        <v>91</v>
      </c>
    </row>
    <row r="38" spans="1:10" x14ac:dyDescent="0.25">
      <c r="I38" t="s">
        <v>86</v>
      </c>
      <c r="J38" t="s">
        <v>88</v>
      </c>
    </row>
    <row r="39" spans="1:10" x14ac:dyDescent="0.25">
      <c r="I39" t="s">
        <v>90</v>
      </c>
      <c r="J39" t="s">
        <v>87</v>
      </c>
    </row>
    <row r="40" spans="1:10" x14ac:dyDescent="0.25">
      <c r="I40" t="s">
        <v>89</v>
      </c>
    </row>
    <row r="41" spans="1:10" x14ac:dyDescent="0.25">
      <c r="I41" t="s">
        <v>211</v>
      </c>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41"/>
  <sheetViews>
    <sheetView topLeftCell="A4" workbookViewId="0">
      <selection activeCell="D35" sqref="D35"/>
    </sheetView>
  </sheetViews>
  <sheetFormatPr defaultRowHeight="15" x14ac:dyDescent="0.25"/>
  <cols>
    <col min="1" max="1" width="8.140625" bestFit="1" customWidth="1"/>
    <col min="2" max="2" width="7.140625" bestFit="1" customWidth="1"/>
    <col min="3" max="3" width="12" bestFit="1" customWidth="1"/>
  </cols>
  <sheetData>
    <row r="1" spans="1:9" x14ac:dyDescent="0.25">
      <c r="A1" s="1" t="s">
        <v>118</v>
      </c>
      <c r="B1" s="1" t="s">
        <v>117</v>
      </c>
      <c r="C1" s="1" t="s">
        <v>116</v>
      </c>
      <c r="D1" s="1" t="s">
        <v>6</v>
      </c>
      <c r="E1" s="1" t="s">
        <v>160</v>
      </c>
      <c r="F1" s="1" t="s">
        <v>159</v>
      </c>
      <c r="G1" s="1" t="s">
        <v>155</v>
      </c>
      <c r="I1" t="s">
        <v>115</v>
      </c>
    </row>
    <row r="2" spans="1:9" x14ac:dyDescent="0.25">
      <c r="A2">
        <v>53</v>
      </c>
      <c r="B2">
        <v>1</v>
      </c>
      <c r="C2">
        <f t="shared" ref="C2:C25" si="0">EXP(B$26+B$27*A2)/(1+EXP(B$26+B$27*A2))</f>
        <v>0.85758337361878889</v>
      </c>
      <c r="D2">
        <f>LN(_xlfn.BINOM.DIST(B2,1,C2,FALSE))</f>
        <v>-0.15363687595848885</v>
      </c>
      <c r="E2">
        <f>LN(BINOMDIST(B2,1,B2,FALSE))</f>
        <v>0</v>
      </c>
      <c r="F2">
        <f>LN(_xlfn.BINOM.DIST(B2,1,B$29,FALSE))</f>
        <v>-1.2321436812926323</v>
      </c>
      <c r="G2">
        <f>SIGN(B2-C2)*SQRT(2*( IF(B2=1, B2*LN(B2/C2),(1-B2)*LN((1-B2)/(1-C2)))))</f>
        <v>0.55432278675603586</v>
      </c>
      <c r="I2" t="s">
        <v>114</v>
      </c>
    </row>
    <row r="3" spans="1:9" x14ac:dyDescent="0.25">
      <c r="A3">
        <v>56</v>
      </c>
      <c r="B3">
        <v>1</v>
      </c>
      <c r="C3">
        <f t="shared" si="0"/>
        <v>0.7826880247715714</v>
      </c>
      <c r="D3">
        <f t="shared" ref="D3:D25" si="1">LN(_xlfn.BINOM.DIST(B3,1,C3,FALSE))</f>
        <v>-0.24502109818417125</v>
      </c>
      <c r="E3">
        <f t="shared" ref="E3:E25" si="2">LN(BINOMDIST(B3,1,B3,FALSE))</f>
        <v>0</v>
      </c>
      <c r="F3">
        <f t="shared" ref="F3:F25" si="3">LN(_xlfn.BINOM.DIST(B3,1,B$29,FALSE))</f>
        <v>-1.2321436812926323</v>
      </c>
      <c r="G3">
        <f t="shared" ref="G3:G25" si="4">SIGN(B3-C3)*SQRT(2*( IF(B3=1, B3*LN(B3/C3),(1-B3)*LN((1-B3)/(1-C3)))))</f>
        <v>0.7000301396142472</v>
      </c>
      <c r="I3" t="s">
        <v>113</v>
      </c>
    </row>
    <row r="4" spans="1:9" x14ac:dyDescent="0.25">
      <c r="A4">
        <v>57</v>
      </c>
      <c r="B4">
        <v>1</v>
      </c>
      <c r="C4">
        <f t="shared" si="0"/>
        <v>0.7521439691168359</v>
      </c>
      <c r="D4">
        <f t="shared" si="1"/>
        <v>-0.28482752506251835</v>
      </c>
      <c r="E4">
        <f t="shared" si="2"/>
        <v>0</v>
      </c>
      <c r="F4">
        <f t="shared" si="3"/>
        <v>-1.2321436812926323</v>
      </c>
      <c r="G4">
        <f t="shared" si="4"/>
        <v>0.75475496031827227</v>
      </c>
      <c r="I4" t="s">
        <v>112</v>
      </c>
    </row>
    <row r="5" spans="1:9" x14ac:dyDescent="0.25">
      <c r="A5">
        <v>63</v>
      </c>
      <c r="B5">
        <v>0</v>
      </c>
      <c r="C5">
        <f t="shared" si="0"/>
        <v>0.52052764583736411</v>
      </c>
      <c r="D5">
        <f t="shared" si="1"/>
        <v>-0.73506904187316502</v>
      </c>
      <c r="E5">
        <f t="shared" si="2"/>
        <v>0</v>
      </c>
      <c r="F5">
        <f t="shared" si="3"/>
        <v>-0.34484048629172964</v>
      </c>
      <c r="G5">
        <f t="shared" si="4"/>
        <v>-1.2124925087382312</v>
      </c>
      <c r="I5" t="s">
        <v>111</v>
      </c>
    </row>
    <row r="6" spans="1:9" x14ac:dyDescent="0.25">
      <c r="A6">
        <v>66</v>
      </c>
      <c r="B6">
        <v>0</v>
      </c>
      <c r="C6">
        <f t="shared" si="0"/>
        <v>0.39369546755696361</v>
      </c>
      <c r="D6">
        <f t="shared" si="1"/>
        <v>-0.50037289035423738</v>
      </c>
      <c r="E6">
        <f t="shared" si="2"/>
        <v>0</v>
      </c>
      <c r="F6">
        <f t="shared" si="3"/>
        <v>-0.34484048629172964</v>
      </c>
      <c r="G6">
        <f t="shared" si="4"/>
        <v>-1.0003728208565419</v>
      </c>
      <c r="I6" t="s">
        <v>110</v>
      </c>
    </row>
    <row r="7" spans="1:9" x14ac:dyDescent="0.25">
      <c r="A7">
        <v>67</v>
      </c>
      <c r="B7">
        <v>0</v>
      </c>
      <c r="C7">
        <f t="shared" si="0"/>
        <v>0.35362902498056986</v>
      </c>
      <c r="D7">
        <f t="shared" si="1"/>
        <v>-0.43638167529046878</v>
      </c>
      <c r="E7">
        <f t="shared" si="2"/>
        <v>0</v>
      </c>
      <c r="F7">
        <f t="shared" si="3"/>
        <v>-0.34484048629172964</v>
      </c>
      <c r="G7">
        <f t="shared" si="4"/>
        <v>-0.93421804231182437</v>
      </c>
      <c r="I7" t="s">
        <v>109</v>
      </c>
    </row>
    <row r="8" spans="1:9" x14ac:dyDescent="0.25">
      <c r="A8">
        <v>67</v>
      </c>
      <c r="B8">
        <v>0</v>
      </c>
      <c r="C8">
        <f t="shared" si="0"/>
        <v>0.35362902498056986</v>
      </c>
      <c r="D8">
        <f t="shared" si="1"/>
        <v>-0.43638167529046878</v>
      </c>
      <c r="E8">
        <f t="shared" si="2"/>
        <v>0</v>
      </c>
      <c r="F8">
        <f t="shared" si="3"/>
        <v>-0.34484048629172964</v>
      </c>
      <c r="G8">
        <f t="shared" si="4"/>
        <v>-0.93421804231182437</v>
      </c>
      <c r="I8" t="s">
        <v>208</v>
      </c>
    </row>
    <row r="9" spans="1:9" x14ac:dyDescent="0.25">
      <c r="A9">
        <v>67</v>
      </c>
      <c r="B9">
        <v>0</v>
      </c>
      <c r="C9">
        <f t="shared" si="0"/>
        <v>0.35362902498056986</v>
      </c>
      <c r="D9">
        <f t="shared" si="1"/>
        <v>-0.43638167529046878</v>
      </c>
      <c r="E9">
        <f t="shared" si="2"/>
        <v>0</v>
      </c>
      <c r="F9">
        <f t="shared" si="3"/>
        <v>-0.34484048629172964</v>
      </c>
      <c r="G9">
        <f t="shared" si="4"/>
        <v>-0.93421804231182437</v>
      </c>
      <c r="I9" t="s">
        <v>108</v>
      </c>
    </row>
    <row r="10" spans="1:9" x14ac:dyDescent="0.25">
      <c r="A10">
        <v>68</v>
      </c>
      <c r="B10">
        <v>0</v>
      </c>
      <c r="C10">
        <f t="shared" si="0"/>
        <v>0.31551820175265477</v>
      </c>
      <c r="D10">
        <f t="shared" si="1"/>
        <v>-0.37909322591859079</v>
      </c>
      <c r="E10">
        <f t="shared" si="2"/>
        <v>0</v>
      </c>
      <c r="F10">
        <f t="shared" si="3"/>
        <v>-0.34484048629172964</v>
      </c>
      <c r="G10">
        <f t="shared" si="4"/>
        <v>-0.87073902625136868</v>
      </c>
      <c r="I10" t="s">
        <v>107</v>
      </c>
    </row>
    <row r="11" spans="1:9" x14ac:dyDescent="0.25">
      <c r="A11">
        <v>69</v>
      </c>
      <c r="B11">
        <v>0</v>
      </c>
      <c r="C11">
        <f t="shared" si="0"/>
        <v>0.27973707599150938</v>
      </c>
      <c r="D11">
        <f t="shared" si="1"/>
        <v>-0.32813896139717408</v>
      </c>
      <c r="E11">
        <f t="shared" si="2"/>
        <v>0</v>
      </c>
      <c r="F11">
        <f t="shared" si="3"/>
        <v>-0.34484048629172964</v>
      </c>
      <c r="G11">
        <f t="shared" si="4"/>
        <v>-0.81010982144049348</v>
      </c>
      <c r="I11" t="s">
        <v>106</v>
      </c>
    </row>
    <row r="12" spans="1:9" x14ac:dyDescent="0.25">
      <c r="A12">
        <v>70</v>
      </c>
      <c r="B12">
        <v>0</v>
      </c>
      <c r="C12">
        <f t="shared" si="0"/>
        <v>0.24655207821366518</v>
      </c>
      <c r="D12">
        <f t="shared" si="1"/>
        <v>-0.28309537838531895</v>
      </c>
      <c r="E12">
        <f t="shared" si="2"/>
        <v>0</v>
      </c>
      <c r="F12">
        <f t="shared" si="3"/>
        <v>-0.34484048629172964</v>
      </c>
      <c r="G12">
        <f t="shared" si="4"/>
        <v>-0.75245648164570822</v>
      </c>
      <c r="I12" t="s">
        <v>105</v>
      </c>
    </row>
    <row r="13" spans="1:9" x14ac:dyDescent="0.25">
      <c r="A13">
        <v>70</v>
      </c>
      <c r="B13">
        <v>1</v>
      </c>
      <c r="C13">
        <f t="shared" si="0"/>
        <v>0.24655207821366518</v>
      </c>
      <c r="D13">
        <f t="shared" si="1"/>
        <v>-1.4001820371702196</v>
      </c>
      <c r="E13">
        <f t="shared" si="2"/>
        <v>0</v>
      </c>
      <c r="F13">
        <f t="shared" si="3"/>
        <v>-1.2321436812926323</v>
      </c>
      <c r="G13">
        <f t="shared" si="4"/>
        <v>1.6734288375489528</v>
      </c>
      <c r="I13" t="s">
        <v>128</v>
      </c>
    </row>
    <row r="14" spans="1:9" x14ac:dyDescent="0.25">
      <c r="A14">
        <v>70</v>
      </c>
      <c r="B14">
        <v>1</v>
      </c>
      <c r="C14">
        <f t="shared" si="0"/>
        <v>0.24655207821366518</v>
      </c>
      <c r="D14">
        <f t="shared" si="1"/>
        <v>-1.4001820371702196</v>
      </c>
      <c r="E14">
        <f t="shared" si="2"/>
        <v>0</v>
      </c>
      <c r="F14">
        <f t="shared" si="3"/>
        <v>-1.2321436812926323</v>
      </c>
      <c r="G14">
        <f t="shared" si="4"/>
        <v>1.6734288375489528</v>
      </c>
    </row>
    <row r="15" spans="1:9" x14ac:dyDescent="0.25">
      <c r="A15">
        <v>70</v>
      </c>
      <c r="B15">
        <v>1</v>
      </c>
      <c r="C15">
        <f t="shared" si="0"/>
        <v>0.24655207821366518</v>
      </c>
      <c r="D15">
        <f t="shared" si="1"/>
        <v>-1.4001820371702196</v>
      </c>
      <c r="E15">
        <f t="shared" si="2"/>
        <v>0</v>
      </c>
      <c r="F15">
        <f t="shared" si="3"/>
        <v>-1.2321436812926323</v>
      </c>
      <c r="G15">
        <f t="shared" si="4"/>
        <v>1.6734288375489528</v>
      </c>
      <c r="I15" t="s">
        <v>104</v>
      </c>
    </row>
    <row r="16" spans="1:9" x14ac:dyDescent="0.25">
      <c r="A16">
        <v>72</v>
      </c>
      <c r="B16">
        <v>0</v>
      </c>
      <c r="C16">
        <f t="shared" si="0"/>
        <v>0.18850898602172422</v>
      </c>
      <c r="D16">
        <f t="shared" si="1"/>
        <v>-0.20888196543658197</v>
      </c>
      <c r="E16">
        <f t="shared" si="2"/>
        <v>0</v>
      </c>
      <c r="F16">
        <f t="shared" si="3"/>
        <v>-0.34484048629172964</v>
      </c>
      <c r="G16">
        <f t="shared" si="4"/>
        <v>-0.64634660273970956</v>
      </c>
      <c r="I16" t="s">
        <v>103</v>
      </c>
    </row>
    <row r="17" spans="1:10" x14ac:dyDescent="0.25">
      <c r="A17">
        <v>73</v>
      </c>
      <c r="B17">
        <v>0</v>
      </c>
      <c r="C17">
        <f t="shared" si="0"/>
        <v>0.16368682912561158</v>
      </c>
      <c r="D17">
        <f t="shared" si="1"/>
        <v>-0.17875212973578392</v>
      </c>
      <c r="E17">
        <f t="shared" si="2"/>
        <v>0</v>
      </c>
      <c r="F17">
        <f t="shared" si="3"/>
        <v>-0.34484048629172964</v>
      </c>
      <c r="G17">
        <f t="shared" si="4"/>
        <v>-0.59791659909352568</v>
      </c>
      <c r="I17" t="s">
        <v>102</v>
      </c>
    </row>
    <row r="18" spans="1:10" x14ac:dyDescent="0.25">
      <c r="A18">
        <v>75</v>
      </c>
      <c r="B18">
        <v>0</v>
      </c>
      <c r="C18">
        <f t="shared" si="0"/>
        <v>0.12199319247063113</v>
      </c>
      <c r="D18">
        <f t="shared" si="1"/>
        <v>-0.130100931926772</v>
      </c>
      <c r="E18">
        <f t="shared" si="2"/>
        <v>0</v>
      </c>
      <c r="F18">
        <f t="shared" si="3"/>
        <v>-0.34484048629172964</v>
      </c>
      <c r="G18">
        <f t="shared" si="4"/>
        <v>-0.51009985674722935</v>
      </c>
      <c r="I18" s="1" t="s">
        <v>36</v>
      </c>
      <c r="J18" s="1" t="s">
        <v>37</v>
      </c>
    </row>
    <row r="19" spans="1:10" x14ac:dyDescent="0.25">
      <c r="A19">
        <v>75</v>
      </c>
      <c r="B19">
        <v>1</v>
      </c>
      <c r="C19">
        <f t="shared" si="0"/>
        <v>0.12199319247063113</v>
      </c>
      <c r="D19">
        <f t="shared" si="1"/>
        <v>-2.1037900352267824</v>
      </c>
      <c r="E19">
        <f t="shared" si="2"/>
        <v>0</v>
      </c>
      <c r="F19">
        <f t="shared" si="3"/>
        <v>-1.2321436812926323</v>
      </c>
      <c r="G19">
        <f t="shared" si="4"/>
        <v>2.0512386673553045</v>
      </c>
      <c r="I19">
        <v>10.875347571461424</v>
      </c>
      <c r="J19">
        <v>-0.17132048896865174</v>
      </c>
    </row>
    <row r="20" spans="1:10" x14ac:dyDescent="0.25">
      <c r="A20">
        <v>76</v>
      </c>
      <c r="B20">
        <v>0</v>
      </c>
      <c r="C20">
        <f t="shared" si="0"/>
        <v>0.10479847950961262</v>
      </c>
      <c r="D20">
        <f t="shared" si="1"/>
        <v>-0.11070642349347419</v>
      </c>
      <c r="E20">
        <f t="shared" si="2"/>
        <v>0</v>
      </c>
      <c r="F20">
        <f t="shared" si="3"/>
        <v>-0.34484048629172964</v>
      </c>
      <c r="G20">
        <f t="shared" si="4"/>
        <v>-0.47054526560889798</v>
      </c>
      <c r="I20" t="s">
        <v>129</v>
      </c>
    </row>
    <row r="21" spans="1:10" x14ac:dyDescent="0.25">
      <c r="A21">
        <v>76</v>
      </c>
      <c r="B21">
        <v>0</v>
      </c>
      <c r="C21">
        <f t="shared" si="0"/>
        <v>0.10479847950961262</v>
      </c>
      <c r="D21">
        <f t="shared" si="1"/>
        <v>-0.11070642349347419</v>
      </c>
      <c r="E21">
        <f t="shared" si="2"/>
        <v>0</v>
      </c>
      <c r="F21">
        <f t="shared" si="3"/>
        <v>-0.34484048629172964</v>
      </c>
      <c r="G21">
        <f t="shared" si="4"/>
        <v>-0.47054526560889798</v>
      </c>
      <c r="I21" t="s">
        <v>101</v>
      </c>
    </row>
    <row r="22" spans="1:10" x14ac:dyDescent="0.25">
      <c r="A22">
        <v>78</v>
      </c>
      <c r="B22">
        <v>0</v>
      </c>
      <c r="C22">
        <f t="shared" si="0"/>
        <v>7.6728468392234253E-2</v>
      </c>
      <c r="D22">
        <f t="shared" si="1"/>
        <v>-7.9831903985782271E-2</v>
      </c>
      <c r="E22">
        <f t="shared" si="2"/>
        <v>0</v>
      </c>
      <c r="F22">
        <f t="shared" si="3"/>
        <v>-0.34484048629172964</v>
      </c>
      <c r="G22">
        <f t="shared" si="4"/>
        <v>-0.39957953898011939</v>
      </c>
      <c r="I22" s="7" t="s">
        <v>156</v>
      </c>
    </row>
    <row r="23" spans="1:10" x14ac:dyDescent="0.25">
      <c r="A23">
        <v>79</v>
      </c>
      <c r="B23">
        <v>0</v>
      </c>
      <c r="C23">
        <f t="shared" si="0"/>
        <v>6.5438231288317855E-2</v>
      </c>
      <c r="D23">
        <f t="shared" si="1"/>
        <v>-6.7677556131063507E-2</v>
      </c>
      <c r="E23">
        <f t="shared" si="2"/>
        <v>0</v>
      </c>
      <c r="F23">
        <f t="shared" si="3"/>
        <v>-0.34484048629172964</v>
      </c>
      <c r="G23">
        <f t="shared" si="4"/>
        <v>-0.36790639062420072</v>
      </c>
      <c r="I23" s="7" t="s">
        <v>157</v>
      </c>
    </row>
    <row r="24" spans="1:10" x14ac:dyDescent="0.25">
      <c r="A24">
        <v>80</v>
      </c>
      <c r="B24">
        <v>0</v>
      </c>
      <c r="C24">
        <f t="shared" si="0"/>
        <v>5.5709058905896412E-2</v>
      </c>
      <c r="D24">
        <f t="shared" si="1"/>
        <v>-5.7320960009045824E-2</v>
      </c>
      <c r="E24">
        <f t="shared" si="2"/>
        <v>0</v>
      </c>
      <c r="F24">
        <f t="shared" si="3"/>
        <v>-0.34484048629172964</v>
      </c>
      <c r="G24">
        <f t="shared" si="4"/>
        <v>-0.33858812740273647</v>
      </c>
      <c r="I24" s="7" t="s">
        <v>38</v>
      </c>
    </row>
    <row r="25" spans="1:10" x14ac:dyDescent="0.25">
      <c r="A25">
        <v>81</v>
      </c>
      <c r="B25">
        <v>0</v>
      </c>
      <c r="C25">
        <f t="shared" si="0"/>
        <v>4.7353099851989086E-2</v>
      </c>
      <c r="D25">
        <f t="shared" si="1"/>
        <v>-4.8510957995692175E-2</v>
      </c>
      <c r="E25">
        <f t="shared" si="2"/>
        <v>0</v>
      </c>
      <c r="F25">
        <f t="shared" si="3"/>
        <v>-0.34484048629172964</v>
      </c>
      <c r="G25">
        <f t="shared" si="4"/>
        <v>-0.31148341206456615</v>
      </c>
      <c r="I25" s="7" t="s">
        <v>130</v>
      </c>
    </row>
    <row r="26" spans="1:10" ht="15.75" thickBot="1" x14ac:dyDescent="0.3">
      <c r="A26" s="1" t="s">
        <v>126</v>
      </c>
      <c r="B26">
        <v>10.875347564426628</v>
      </c>
      <c r="C26" s="1" t="s">
        <v>125</v>
      </c>
      <c r="D26">
        <f>SUM(D2:D25)</f>
        <v>-11.515225421950181</v>
      </c>
      <c r="E26">
        <f t="shared" ref="E26:F26" si="5">SUM(E2:E25)</f>
        <v>0</v>
      </c>
      <c r="F26">
        <f t="shared" si="5"/>
        <v>-14.487294036007835</v>
      </c>
      <c r="G26">
        <f>SUM(G2:G25)</f>
        <v>-2.4812027780469816</v>
      </c>
      <c r="I26" t="s">
        <v>100</v>
      </c>
    </row>
    <row r="27" spans="1:10" ht="15.75" thickBot="1" x14ac:dyDescent="0.3">
      <c r="A27" s="1" t="s">
        <v>127</v>
      </c>
      <c r="B27">
        <v>-0.17132048890302184</v>
      </c>
      <c r="C27" s="17" t="s">
        <v>171</v>
      </c>
      <c r="D27" s="18">
        <f>-2*D26+2*2</f>
        <v>27.030450843900361</v>
      </c>
      <c r="E27" s="18">
        <f>-2*E26+2*24</f>
        <v>48</v>
      </c>
      <c r="F27" s="19">
        <f>-2*F26+2*1</f>
        <v>30.974588072015671</v>
      </c>
      <c r="I27" t="s">
        <v>99</v>
      </c>
    </row>
    <row r="28" spans="1:10" x14ac:dyDescent="0.25">
      <c r="C28" s="9"/>
      <c r="D28" s="10" t="s">
        <v>168</v>
      </c>
      <c r="E28" s="10" t="s">
        <v>20</v>
      </c>
      <c r="F28" s="11" t="s">
        <v>169</v>
      </c>
      <c r="I28" t="s">
        <v>98</v>
      </c>
    </row>
    <row r="29" spans="1:10" x14ac:dyDescent="0.25">
      <c r="A29" t="s">
        <v>158</v>
      </c>
      <c r="B29">
        <f>COUNTIF(B2:B25,1)/COUNT(B2:B25)</f>
        <v>0.29166666666666669</v>
      </c>
      <c r="C29" s="12" t="s">
        <v>166</v>
      </c>
      <c r="D29" s="8">
        <f>2*(E26-F26)</f>
        <v>28.974588072015671</v>
      </c>
      <c r="E29" s="8">
        <v>23</v>
      </c>
      <c r="F29" s="13">
        <f>_xlfn.CHISQ.DIST.RT(D29,E29)</f>
        <v>0.18115383214537673</v>
      </c>
      <c r="G29" t="s">
        <v>172</v>
      </c>
      <c r="I29" t="s">
        <v>97</v>
      </c>
    </row>
    <row r="30" spans="1:10" x14ac:dyDescent="0.25">
      <c r="C30" s="12" t="s">
        <v>167</v>
      </c>
      <c r="D30" s="8">
        <f>2*(E26-D26)</f>
        <v>23.030450843900361</v>
      </c>
      <c r="E30" s="8">
        <v>22</v>
      </c>
      <c r="F30" s="13">
        <f>_xlfn.CHISQ.DIST.RT(D30,E30)</f>
        <v>0.40001183758848896</v>
      </c>
      <c r="G30" t="s">
        <v>173</v>
      </c>
      <c r="I30" t="s">
        <v>209</v>
      </c>
    </row>
    <row r="31" spans="1:10" ht="15.75" thickBot="1" x14ac:dyDescent="0.3">
      <c r="C31" s="14" t="s">
        <v>170</v>
      </c>
      <c r="D31" s="15">
        <f>2*(D26-F26)</f>
        <v>5.9441372281153093</v>
      </c>
      <c r="E31" s="15">
        <v>1</v>
      </c>
      <c r="F31" s="16">
        <f>_xlfn.CHISQ.DIST.RT(D31,E31)</f>
        <v>1.4766317288289482E-2</v>
      </c>
      <c r="G31" t="s">
        <v>174</v>
      </c>
      <c r="I31" t="s">
        <v>96</v>
      </c>
    </row>
    <row r="32" spans="1:10" x14ac:dyDescent="0.25">
      <c r="A32" t="s">
        <v>161</v>
      </c>
      <c r="C32" s="8"/>
      <c r="D32" s="8"/>
      <c r="E32" s="8"/>
      <c r="F32" s="8"/>
      <c r="I32" t="s">
        <v>95</v>
      </c>
    </row>
    <row r="33" spans="1:10" x14ac:dyDescent="0.25">
      <c r="A33" t="s">
        <v>163</v>
      </c>
      <c r="I33" t="s">
        <v>94</v>
      </c>
    </row>
    <row r="34" spans="1:10" x14ac:dyDescent="0.25">
      <c r="A34" t="s">
        <v>162</v>
      </c>
      <c r="I34" t="s">
        <v>210</v>
      </c>
    </row>
    <row r="35" spans="1:10" x14ac:dyDescent="0.25">
      <c r="A35" t="s">
        <v>164</v>
      </c>
      <c r="I35" t="s">
        <v>93</v>
      </c>
    </row>
    <row r="36" spans="1:10" x14ac:dyDescent="0.25">
      <c r="A36" t="s">
        <v>165</v>
      </c>
      <c r="I36" t="s">
        <v>92</v>
      </c>
    </row>
    <row r="37" spans="1:10" x14ac:dyDescent="0.25">
      <c r="A37" t="s">
        <v>179</v>
      </c>
      <c r="I37" t="s">
        <v>91</v>
      </c>
    </row>
    <row r="38" spans="1:10" x14ac:dyDescent="0.25">
      <c r="I38" t="s">
        <v>86</v>
      </c>
      <c r="J38" t="s">
        <v>88</v>
      </c>
    </row>
    <row r="39" spans="1:10" x14ac:dyDescent="0.25">
      <c r="I39" t="s">
        <v>90</v>
      </c>
      <c r="J39" t="s">
        <v>87</v>
      </c>
    </row>
    <row r="40" spans="1:10" x14ac:dyDescent="0.25">
      <c r="I40" t="s">
        <v>89</v>
      </c>
    </row>
    <row r="41" spans="1:10" x14ac:dyDescent="0.25">
      <c r="I41" t="s">
        <v>211</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8"/>
  <sheetViews>
    <sheetView workbookViewId="0">
      <selection activeCell="F6" sqref="F6"/>
    </sheetView>
  </sheetViews>
  <sheetFormatPr defaultRowHeight="15" x14ac:dyDescent="0.25"/>
  <cols>
    <col min="1" max="1" width="6" bestFit="1" customWidth="1"/>
    <col min="2" max="2" width="14" bestFit="1" customWidth="1"/>
    <col min="3" max="3" width="12.140625" bestFit="1" customWidth="1"/>
    <col min="4" max="4" width="15.7109375" bestFit="1" customWidth="1"/>
    <col min="5" max="5" width="10.5703125" bestFit="1" customWidth="1"/>
  </cols>
  <sheetData>
    <row r="1" spans="1:16" x14ac:dyDescent="0.25">
      <c r="A1" s="1" t="s">
        <v>0</v>
      </c>
      <c r="B1" s="1" t="s">
        <v>1</v>
      </c>
      <c r="C1" s="1" t="s">
        <v>2</v>
      </c>
      <c r="D1" s="1" t="s">
        <v>4</v>
      </c>
      <c r="E1" s="1" t="s">
        <v>3</v>
      </c>
      <c r="F1" s="1" t="s">
        <v>7</v>
      </c>
      <c r="G1" s="1"/>
      <c r="H1" t="s">
        <v>8</v>
      </c>
    </row>
    <row r="2" spans="1:16" ht="15.75" thickBot="1" x14ac:dyDescent="0.3">
      <c r="A2">
        <v>1</v>
      </c>
      <c r="B2">
        <v>15</v>
      </c>
      <c r="C2">
        <v>297</v>
      </c>
      <c r="D2">
        <v>0</v>
      </c>
      <c r="E2">
        <f>B2/C2</f>
        <v>5.0505050505050504E-2</v>
      </c>
      <c r="F2">
        <f>LN(E2/(1-E2))</f>
        <v>-2.9338568698359033</v>
      </c>
    </row>
    <row r="3" spans="1:16" x14ac:dyDescent="0.25">
      <c r="A3">
        <v>2</v>
      </c>
      <c r="B3">
        <v>17</v>
      </c>
      <c r="C3">
        <v>242</v>
      </c>
      <c r="D3">
        <v>62.5</v>
      </c>
      <c r="E3">
        <f t="shared" ref="E3:E6" si="0">B3/C3</f>
        <v>7.0247933884297523E-2</v>
      </c>
      <c r="F3">
        <f t="shared" ref="F3:F6" si="1">LN(E3/(1-E3))</f>
        <v>-2.582887058148204</v>
      </c>
      <c r="H3" s="5" t="s">
        <v>9</v>
      </c>
      <c r="I3" s="5"/>
    </row>
    <row r="4" spans="1:16" x14ac:dyDescent="0.25">
      <c r="A4">
        <v>3</v>
      </c>
      <c r="B4">
        <v>22</v>
      </c>
      <c r="C4">
        <v>312</v>
      </c>
      <c r="D4">
        <v>125</v>
      </c>
      <c r="E4">
        <f t="shared" si="0"/>
        <v>7.0512820512820512E-2</v>
      </c>
      <c r="F4">
        <f t="shared" si="1"/>
        <v>-2.578838469622204</v>
      </c>
      <c r="H4" s="2" t="s">
        <v>10</v>
      </c>
      <c r="I4" s="2">
        <v>0.98059812730510953</v>
      </c>
    </row>
    <row r="5" spans="1:16" x14ac:dyDescent="0.25">
      <c r="A5">
        <v>4</v>
      </c>
      <c r="B5">
        <v>38</v>
      </c>
      <c r="C5">
        <v>299</v>
      </c>
      <c r="D5">
        <v>250</v>
      </c>
      <c r="E5">
        <f t="shared" si="0"/>
        <v>0.12709030100334448</v>
      </c>
      <c r="F5">
        <f t="shared" si="1"/>
        <v>-1.9269342475963076</v>
      </c>
      <c r="H5" s="2" t="s">
        <v>11</v>
      </c>
      <c r="I5" s="2">
        <v>0.96157268727428791</v>
      </c>
    </row>
    <row r="6" spans="1:16" x14ac:dyDescent="0.25">
      <c r="A6">
        <v>5</v>
      </c>
      <c r="B6">
        <v>144</v>
      </c>
      <c r="C6">
        <v>285</v>
      </c>
      <c r="D6">
        <v>500</v>
      </c>
      <c r="E6">
        <f t="shared" si="0"/>
        <v>0.50526315789473686</v>
      </c>
      <c r="F6">
        <f t="shared" si="1"/>
        <v>2.1053409197832482E-2</v>
      </c>
      <c r="H6" s="2" t="s">
        <v>12</v>
      </c>
      <c r="I6" s="2">
        <v>0.94876358303238384</v>
      </c>
    </row>
    <row r="7" spans="1:16" x14ac:dyDescent="0.25">
      <c r="H7" s="2" t="s">
        <v>13</v>
      </c>
      <c r="I7" s="2">
        <v>0.26870723057980994</v>
      </c>
    </row>
    <row r="8" spans="1:16" ht="15.75" thickBot="1" x14ac:dyDescent="0.3">
      <c r="A8" t="s">
        <v>119</v>
      </c>
      <c r="H8" s="3" t="s">
        <v>14</v>
      </c>
      <c r="I8" s="3">
        <v>5</v>
      </c>
    </row>
    <row r="9" spans="1:16" x14ac:dyDescent="0.25">
      <c r="A9" t="s">
        <v>120</v>
      </c>
    </row>
    <row r="10" spans="1:16" ht="15.75" thickBot="1" x14ac:dyDescent="0.3">
      <c r="A10" t="s">
        <v>121</v>
      </c>
      <c r="H10" t="s">
        <v>15</v>
      </c>
    </row>
    <row r="11" spans="1:16" x14ac:dyDescent="0.25">
      <c r="A11" t="s">
        <v>122</v>
      </c>
      <c r="H11" s="4"/>
      <c r="I11" s="4" t="s">
        <v>20</v>
      </c>
      <c r="J11" s="4" t="s">
        <v>21</v>
      </c>
      <c r="K11" s="4" t="s">
        <v>22</v>
      </c>
      <c r="L11" s="4" t="s">
        <v>23</v>
      </c>
      <c r="M11" s="4" t="s">
        <v>24</v>
      </c>
    </row>
    <row r="12" spans="1:16" x14ac:dyDescent="0.25">
      <c r="H12" s="2" t="s">
        <v>16</v>
      </c>
      <c r="I12" s="2">
        <v>1</v>
      </c>
      <c r="J12" s="2">
        <v>5.4202842813059178</v>
      </c>
      <c r="K12" s="2">
        <v>5.4202842813059178</v>
      </c>
      <c r="L12" s="2">
        <v>75.069471612899704</v>
      </c>
      <c r="M12" s="2">
        <v>3.2346803288823413E-3</v>
      </c>
    </row>
    <row r="13" spans="1:16" x14ac:dyDescent="0.25">
      <c r="A13" t="s">
        <v>35</v>
      </c>
      <c r="H13" s="2" t="s">
        <v>17</v>
      </c>
      <c r="I13" s="2">
        <v>3</v>
      </c>
      <c r="J13" s="2">
        <v>0.21661072729761346</v>
      </c>
      <c r="K13" s="2">
        <v>7.220357576587115E-2</v>
      </c>
      <c r="L13" s="2"/>
      <c r="M13" s="2"/>
    </row>
    <row r="14" spans="1:16" ht="15.75" thickBot="1" x14ac:dyDescent="0.3">
      <c r="A14" t="s">
        <v>34</v>
      </c>
      <c r="H14" s="3" t="s">
        <v>18</v>
      </c>
      <c r="I14" s="3">
        <v>4</v>
      </c>
      <c r="J14" s="3">
        <v>5.6368950086035312</v>
      </c>
      <c r="K14" s="3"/>
      <c r="L14" s="3"/>
      <c r="M14" s="3"/>
    </row>
    <row r="15" spans="1:16" ht="15.75" thickBot="1" x14ac:dyDescent="0.3">
      <c r="A15" t="s">
        <v>84</v>
      </c>
    </row>
    <row r="16" spans="1:16" x14ac:dyDescent="0.25">
      <c r="H16" s="4"/>
      <c r="I16" s="4" t="s">
        <v>25</v>
      </c>
      <c r="J16" s="4" t="s">
        <v>13</v>
      </c>
      <c r="K16" s="4" t="s">
        <v>26</v>
      </c>
      <c r="L16" s="4" t="s">
        <v>27</v>
      </c>
      <c r="M16" s="4" t="s">
        <v>28</v>
      </c>
      <c r="N16" s="4" t="s">
        <v>29</v>
      </c>
      <c r="O16" s="4" t="s">
        <v>30</v>
      </c>
      <c r="P16" s="4" t="s">
        <v>31</v>
      </c>
    </row>
    <row r="17" spans="1:16" x14ac:dyDescent="0.25">
      <c r="A17" t="s">
        <v>123</v>
      </c>
      <c r="H17" s="2" t="s">
        <v>19</v>
      </c>
      <c r="I17" s="2">
        <v>-3.1046313467373952</v>
      </c>
      <c r="J17" s="2">
        <v>0.17517568238912395</v>
      </c>
      <c r="K17" s="2">
        <v>-17.722958485989896</v>
      </c>
      <c r="L17" s="2">
        <v>3.9165783965393303E-4</v>
      </c>
      <c r="M17" s="2">
        <v>-3.6621185499322153</v>
      </c>
      <c r="N17" s="2">
        <v>-2.547144143542575</v>
      </c>
      <c r="O17" s="2">
        <v>-3.6621185499322153</v>
      </c>
      <c r="P17" s="2">
        <v>-2.547144143542575</v>
      </c>
    </row>
    <row r="18" spans="1:16" ht="15.75" thickBot="1" x14ac:dyDescent="0.3">
      <c r="H18" s="3" t="s">
        <v>4</v>
      </c>
      <c r="I18" s="3">
        <v>5.8898063975276714E-3</v>
      </c>
      <c r="J18" s="3">
        <v>6.7978149791059737E-4</v>
      </c>
      <c r="K18" s="3">
        <v>8.6642640548923548</v>
      </c>
      <c r="L18" s="3">
        <v>3.2346803288823413E-3</v>
      </c>
      <c r="M18" s="3">
        <v>3.7264382811018652E-3</v>
      </c>
      <c r="N18" s="3">
        <v>8.0531745139534767E-3</v>
      </c>
      <c r="O18" s="3">
        <v>3.7264382811018652E-3</v>
      </c>
      <c r="P18" s="3">
        <v>8.0531745139534767E-3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S23"/>
  <sheetViews>
    <sheetView workbookViewId="0">
      <selection activeCell="G21" sqref="G21"/>
    </sheetView>
  </sheetViews>
  <sheetFormatPr defaultRowHeight="15" x14ac:dyDescent="0.25"/>
  <cols>
    <col min="1" max="1" width="14.85546875" customWidth="1"/>
    <col min="2" max="2" width="14" bestFit="1" customWidth="1"/>
    <col min="3" max="3" width="12.140625" bestFit="1" customWidth="1"/>
    <col min="4" max="4" width="15.7109375" bestFit="1" customWidth="1"/>
    <col min="5" max="5" width="13.7109375" customWidth="1"/>
    <col min="6" max="6" width="12.7109375" bestFit="1" customWidth="1"/>
    <col min="8" max="9" width="9.7109375" bestFit="1" customWidth="1"/>
    <col min="10" max="10" width="10.5703125" customWidth="1"/>
    <col min="12" max="13" width="12" bestFit="1" customWidth="1"/>
  </cols>
  <sheetData>
    <row r="1" spans="1:19" s="1" customFormat="1" x14ac:dyDescent="0.25">
      <c r="A1" s="1" t="s">
        <v>0</v>
      </c>
      <c r="B1" s="1" t="s">
        <v>146</v>
      </c>
      <c r="C1" s="1" t="s">
        <v>147</v>
      </c>
      <c r="D1" s="1" t="s">
        <v>33</v>
      </c>
      <c r="E1" s="1" t="s">
        <v>3</v>
      </c>
      <c r="F1" s="1" t="s">
        <v>5</v>
      </c>
      <c r="G1" s="1" t="s">
        <v>6</v>
      </c>
      <c r="H1" s="1" t="s">
        <v>36</v>
      </c>
      <c r="I1" s="1" t="s">
        <v>37</v>
      </c>
      <c r="K1" s="1" t="s">
        <v>148</v>
      </c>
      <c r="L1" s="1" t="s">
        <v>149</v>
      </c>
      <c r="M1" s="1" t="s">
        <v>150</v>
      </c>
      <c r="N1" s="1" t="s">
        <v>149</v>
      </c>
    </row>
    <row r="2" spans="1:19" x14ac:dyDescent="0.25">
      <c r="A2">
        <v>1</v>
      </c>
      <c r="B2">
        <v>15</v>
      </c>
      <c r="C2">
        <v>297</v>
      </c>
      <c r="D2">
        <v>0</v>
      </c>
      <c r="E2">
        <f>B2/C2</f>
        <v>5.0505050505050504E-2</v>
      </c>
      <c r="F2">
        <f>EXP(H$2+I$2*D2)/(1+EXP(H$2+I$2*D2))</f>
        <v>3.7401199139529329E-2</v>
      </c>
      <c r="G2">
        <f>LN(_xlfn.BINOM.DIST(B2,C2,F2,FALSE))</f>
        <v>-2.8929463744495831</v>
      </c>
      <c r="H2">
        <v>-3.2479339446776545</v>
      </c>
      <c r="I2">
        <v>6.3890683927247194E-3</v>
      </c>
      <c r="K2">
        <f>LN(_xlfn.BINOM.DIST(B2,C2,E2,FALSE))</f>
        <v>-2.2526207580179269</v>
      </c>
      <c r="L2">
        <f>2*(K2-G2)</f>
        <v>1.2806512328633124</v>
      </c>
      <c r="M2">
        <f>LN(_xlfn.BINOM.DIST(B2,C2,C$7,FALSE))</f>
        <v>-20.597953835089431</v>
      </c>
      <c r="N2">
        <f>2*(K2-M2)</f>
        <v>36.69066615414301</v>
      </c>
    </row>
    <row r="3" spans="1:19" x14ac:dyDescent="0.25">
      <c r="A3">
        <v>2</v>
      </c>
      <c r="B3">
        <v>17</v>
      </c>
      <c r="C3">
        <v>242</v>
      </c>
      <c r="D3">
        <v>62.5</v>
      </c>
      <c r="E3">
        <f t="shared" ref="E3:E6" si="0">B3/C3</f>
        <v>7.0247933884297523E-2</v>
      </c>
      <c r="F3">
        <f>EXP(H$2+I$2*D3)/(1+EXP(H$2+I$2*D3))</f>
        <v>5.4752841482292702E-2</v>
      </c>
      <c r="G3">
        <f t="shared" ref="G3:G6" si="1">LN(_xlfn.BINOM.DIST(B3,C3,F3,FALSE))</f>
        <v>-2.8215732959350328</v>
      </c>
      <c r="K3">
        <f t="shared" ref="K3:K6" si="2">LN(_xlfn.BINOM.DIST(B3,C3,E3,FALSE))</f>
        <v>-2.3040539569105061</v>
      </c>
      <c r="L3">
        <f t="shared" ref="L3:L6" si="3">2*(K3-G3)</f>
        <v>1.0350386780490535</v>
      </c>
      <c r="M3">
        <f t="shared" ref="M3:M6" si="4">LN(_xlfn.BINOM.DIST(B3,C3,C$7,FALSE))</f>
        <v>-11.882162028197122</v>
      </c>
      <c r="N3">
        <f t="shared" ref="N3:N6" si="5">2*(K3-M3)</f>
        <v>19.156216142573232</v>
      </c>
    </row>
    <row r="4" spans="1:19" x14ac:dyDescent="0.25">
      <c r="A4">
        <v>3</v>
      </c>
      <c r="B4">
        <v>22</v>
      </c>
      <c r="C4">
        <v>312</v>
      </c>
      <c r="D4">
        <v>125</v>
      </c>
      <c r="E4">
        <f t="shared" si="0"/>
        <v>7.0512820512820512E-2</v>
      </c>
      <c r="F4">
        <f>EXP(H$2+I$2*D4)/(1+EXP(H$2+I$2*D4))</f>
        <v>7.9489724956911409E-2</v>
      </c>
      <c r="G4">
        <f t="shared" si="1"/>
        <v>-2.6097824171922928</v>
      </c>
      <c r="K4">
        <f t="shared" si="2"/>
        <v>-2.4317065078201048</v>
      </c>
      <c r="L4">
        <f t="shared" si="3"/>
        <v>0.35615181874437596</v>
      </c>
      <c r="M4">
        <f t="shared" si="4"/>
        <v>-14.701378877393829</v>
      </c>
      <c r="N4">
        <f t="shared" si="5"/>
        <v>24.539344739147449</v>
      </c>
    </row>
    <row r="5" spans="1:19" x14ac:dyDescent="0.25">
      <c r="A5">
        <v>4</v>
      </c>
      <c r="B5">
        <v>38</v>
      </c>
      <c r="C5">
        <v>299</v>
      </c>
      <c r="D5">
        <v>250</v>
      </c>
      <c r="E5">
        <f t="shared" si="0"/>
        <v>0.12709030100334448</v>
      </c>
      <c r="F5">
        <f>EXP(H$2+I$2*D5)/(1+EXP(H$2+I$2*D5))</f>
        <v>0.16101884373431719</v>
      </c>
      <c r="G5">
        <f t="shared" si="1"/>
        <v>-4.0273583677816553</v>
      </c>
      <c r="K5">
        <f t="shared" si="2"/>
        <v>-2.672003539826437</v>
      </c>
      <c r="L5">
        <f t="shared" si="3"/>
        <v>2.7107096559104367</v>
      </c>
      <c r="M5">
        <f t="shared" si="4"/>
        <v>-4.2965217536051599</v>
      </c>
      <c r="N5">
        <f t="shared" si="5"/>
        <v>3.2490364275574457</v>
      </c>
    </row>
    <row r="6" spans="1:19" x14ac:dyDescent="0.25">
      <c r="A6">
        <v>5</v>
      </c>
      <c r="B6">
        <v>144</v>
      </c>
      <c r="C6">
        <v>285</v>
      </c>
      <c r="D6">
        <v>500</v>
      </c>
      <c r="E6">
        <f t="shared" si="0"/>
        <v>0.50526315789473686</v>
      </c>
      <c r="F6">
        <f>EXP(H$2+I$2*D6)/(1+EXP(H$2+I$2*D6))</f>
        <v>0.48665323433248531</v>
      </c>
      <c r="G6">
        <f t="shared" si="1"/>
        <v>-3.2503210464831929</v>
      </c>
      <c r="K6">
        <f t="shared" si="2"/>
        <v>-3.0528578588376063</v>
      </c>
      <c r="L6">
        <f t="shared" si="3"/>
        <v>0.39492637529117314</v>
      </c>
      <c r="M6">
        <f t="shared" si="4"/>
        <v>-90.788872917181294</v>
      </c>
      <c r="N6">
        <f t="shared" si="5"/>
        <v>175.47203011668736</v>
      </c>
    </row>
    <row r="7" spans="1:19" ht="15.75" thickBot="1" x14ac:dyDescent="0.3">
      <c r="B7" s="6" t="s">
        <v>151</v>
      </c>
      <c r="C7" s="6">
        <f>SUM(B2:B6)/SUM(C2:C6)</f>
        <v>0.16445993031358885</v>
      </c>
      <c r="G7">
        <f>SUM(G2:G6)</f>
        <v>-15.601981501841756</v>
      </c>
      <c r="H7" t="s">
        <v>124</v>
      </c>
      <c r="K7">
        <f>SUM(K2:K6)</f>
        <v>-12.713242621412581</v>
      </c>
      <c r="L7">
        <f>SUM(L2:L6)</f>
        <v>5.7774777608583516</v>
      </c>
      <c r="M7">
        <f>SUM(M2:M6)</f>
        <v>-142.26688941146685</v>
      </c>
      <c r="N7">
        <f>SUM(N2:N6)</f>
        <v>259.10729358010849</v>
      </c>
    </row>
    <row r="8" spans="1:19" ht="15.75" thickBot="1" x14ac:dyDescent="0.3">
      <c r="A8" t="s">
        <v>32</v>
      </c>
      <c r="F8" s="20" t="s">
        <v>171</v>
      </c>
      <c r="G8" s="18">
        <f>-2*G7+2*2</f>
        <v>35.203963003683512</v>
      </c>
      <c r="H8" s="18"/>
      <c r="I8" s="18"/>
      <c r="J8" s="18"/>
      <c r="K8" s="18">
        <f>-2*K7+2*5</f>
        <v>35.426485242825166</v>
      </c>
      <c r="L8" s="18"/>
      <c r="M8" s="19">
        <f>-2*M7+2*1</f>
        <v>286.5337788229337</v>
      </c>
    </row>
    <row r="9" spans="1:19" ht="15.75" thickBot="1" x14ac:dyDescent="0.3">
      <c r="A9" t="s">
        <v>216</v>
      </c>
    </row>
    <row r="10" spans="1:19" x14ac:dyDescent="0.25">
      <c r="A10" t="s">
        <v>85</v>
      </c>
      <c r="E10" t="s">
        <v>152</v>
      </c>
      <c r="F10" t="s">
        <v>153</v>
      </c>
      <c r="G10" t="s">
        <v>155</v>
      </c>
      <c r="J10" s="9"/>
      <c r="K10" s="10" t="s">
        <v>168</v>
      </c>
      <c r="L10" s="10" t="s">
        <v>20</v>
      </c>
      <c r="M10" s="11" t="s">
        <v>169</v>
      </c>
      <c r="O10" s="1" t="s">
        <v>212</v>
      </c>
      <c r="P10" s="43" t="s">
        <v>213</v>
      </c>
      <c r="Q10" s="43" t="s">
        <v>214</v>
      </c>
      <c r="R10" s="43" t="s">
        <v>215</v>
      </c>
      <c r="S10" s="43" t="s">
        <v>155</v>
      </c>
    </row>
    <row r="11" spans="1:19" x14ac:dyDescent="0.25">
      <c r="E11">
        <f>F2*C2</f>
        <v>11.10815614444021</v>
      </c>
      <c r="F11">
        <f>B2-E11</f>
        <v>3.8918438555597898</v>
      </c>
      <c r="G11">
        <f>SIGN(B2-E11)*SQRT(2*(B2*LN(B2/E11)+(C2-B2)*LN((C2-B2)/(C2-E11))))</f>
        <v>1.131658620284095</v>
      </c>
      <c r="J11" s="12" t="s">
        <v>166</v>
      </c>
      <c r="K11" s="8">
        <f>2*(K7-M7)</f>
        <v>259.10729358010855</v>
      </c>
      <c r="L11" s="8">
        <v>4</v>
      </c>
      <c r="M11" s="13">
        <f>_xlfn.CHISQ.DIST.RT(K11,L11)</f>
        <v>7.101581838745913E-55</v>
      </c>
      <c r="O11">
        <v>15</v>
      </c>
      <c r="P11">
        <f>C2-B2</f>
        <v>282</v>
      </c>
      <c r="Q11">
        <v>11.108126635350512</v>
      </c>
      <c r="R11">
        <f>C2-E11</f>
        <v>285.89184385555978</v>
      </c>
      <c r="S11">
        <f>SQRT(2*(O11*LN(O11/Q11)+P11*LN(P11/R11)))</f>
        <v>1.1316938316992742</v>
      </c>
    </row>
    <row r="12" spans="1:19" x14ac:dyDescent="0.25">
      <c r="E12">
        <f>F3*C3</f>
        <v>13.250187638714834</v>
      </c>
      <c r="F12">
        <f>B3-E12</f>
        <v>3.7498123612851657</v>
      </c>
      <c r="G12">
        <f>SIGN(B3-E12)*SQRT(2*(B3*LN(B3/E12)+(C3-B3)*LN((C3-B3)/(C3-E12))))</f>
        <v>1.0173685065152414</v>
      </c>
      <c r="J12" s="12" t="s">
        <v>167</v>
      </c>
      <c r="K12" s="8">
        <f>2*(K7-G7)</f>
        <v>5.7774777608583499</v>
      </c>
      <c r="L12" s="8">
        <v>3</v>
      </c>
      <c r="M12" s="13">
        <f>_xlfn.CHISQ.DIST.RT(K12,L12)</f>
        <v>0.12295282679023944</v>
      </c>
      <c r="O12">
        <v>17</v>
      </c>
      <c r="P12">
        <f t="shared" ref="P12:P15" si="6">C3-B3</f>
        <v>225</v>
      </c>
      <c r="Q12">
        <v>13.249369955141926</v>
      </c>
      <c r="R12">
        <f t="shared" ref="R12:R15" si="7">C3-E12</f>
        <v>228.74981236128517</v>
      </c>
      <c r="S12">
        <f t="shared" ref="S12:S15" si="8">SQRT(2*(O12*LN(O12/Q12)+P12*LN(P12/R12)))</f>
        <v>1.0183991948067475</v>
      </c>
    </row>
    <row r="13" spans="1:19" ht="15.75" thickBot="1" x14ac:dyDescent="0.3">
      <c r="E13">
        <f>F4*C4</f>
        <v>24.800794186556359</v>
      </c>
      <c r="F13">
        <f>B4-E13</f>
        <v>-2.8007941865563595</v>
      </c>
      <c r="G13">
        <f>SIGN(B4-E13)*SQRT(2*(B4*LN(B4/E13)+(C4-B4)*LN((C4-B4)/(C4-E13))))</f>
        <v>-0.59678456644281874</v>
      </c>
      <c r="J13" s="14" t="s">
        <v>170</v>
      </c>
      <c r="K13" s="15">
        <f>2*(G7-M7)</f>
        <v>253.3298158192502</v>
      </c>
      <c r="L13" s="15">
        <v>1</v>
      </c>
      <c r="M13" s="16">
        <f>_xlfn.CHISQ.DIST.RT(K13,L13)</f>
        <v>4.8812225098373749E-57</v>
      </c>
      <c r="O13">
        <v>22</v>
      </c>
      <c r="P13">
        <f t="shared" si="6"/>
        <v>290</v>
      </c>
      <c r="Q13">
        <v>24.797876396538204</v>
      </c>
      <c r="R13">
        <f t="shared" si="7"/>
        <v>287.19920581344365</v>
      </c>
      <c r="S13">
        <f t="shared" si="8"/>
        <v>0.60110621501552408</v>
      </c>
    </row>
    <row r="14" spans="1:19" x14ac:dyDescent="0.25">
      <c r="E14">
        <f>F5*C5</f>
        <v>48.144634276560836</v>
      </c>
      <c r="F14">
        <f>B5-E14</f>
        <v>-10.144634276560836</v>
      </c>
      <c r="G14">
        <f>SIGN(B5-E14)*SQRT(2*(B5*LN(B5/E14)+(C5-B5)*LN((C5-B5)/(C5-E14))))</f>
        <v>-1.6464232918391533</v>
      </c>
      <c r="O14">
        <v>38</v>
      </c>
      <c r="P14">
        <f t="shared" si="6"/>
        <v>261</v>
      </c>
      <c r="Q14">
        <v>48.134421073807097</v>
      </c>
      <c r="R14">
        <f t="shared" si="7"/>
        <v>250.85536572343915</v>
      </c>
      <c r="S14">
        <f t="shared" si="8"/>
        <v>1.6513127173733451</v>
      </c>
    </row>
    <row r="15" spans="1:19" x14ac:dyDescent="0.25">
      <c r="E15">
        <f>F6*C6</f>
        <v>138.69617178475832</v>
      </c>
      <c r="F15">
        <f>B6-E15</f>
        <v>5.3038282152416798</v>
      </c>
      <c r="G15">
        <f>SIGN(B6-E15)*SQRT(2*(B6*LN(B6/E15)+(C6-B6)*LN((C6-B6)/(C6-E15))))</f>
        <v>0.62843167909580455</v>
      </c>
      <c r="O15">
        <v>144</v>
      </c>
      <c r="P15">
        <f t="shared" si="6"/>
        <v>141</v>
      </c>
      <c r="Q15">
        <v>138.66036007140167</v>
      </c>
      <c r="R15">
        <f t="shared" si="7"/>
        <v>146.30382821524168</v>
      </c>
      <c r="S15">
        <f t="shared" si="8"/>
        <v>0.68505352235813521</v>
      </c>
    </row>
    <row r="16" spans="1:19" x14ac:dyDescent="0.25">
      <c r="F16" t="s">
        <v>154</v>
      </c>
    </row>
    <row r="18" spans="10:10" x14ac:dyDescent="0.25">
      <c r="J18" t="s">
        <v>175</v>
      </c>
    </row>
    <row r="19" spans="10:10" x14ac:dyDescent="0.25">
      <c r="J19" t="s">
        <v>176</v>
      </c>
    </row>
    <row r="20" spans="10:10" x14ac:dyDescent="0.25">
      <c r="J20" t="s">
        <v>162</v>
      </c>
    </row>
    <row r="21" spans="10:10" x14ac:dyDescent="0.25">
      <c r="J21" t="s">
        <v>177</v>
      </c>
    </row>
    <row r="22" spans="10:10" x14ac:dyDescent="0.25">
      <c r="J22" t="s">
        <v>178</v>
      </c>
    </row>
    <row r="23" spans="10:10" x14ac:dyDescent="0.25">
      <c r="J23" t="s">
        <v>179</v>
      </c>
    </row>
  </sheetData>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topLeftCell="A8" workbookViewId="0">
      <selection activeCell="H14" sqref="H14"/>
    </sheetView>
  </sheetViews>
  <sheetFormatPr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row r="31" spans="1:1" x14ac:dyDescent="0.25">
      <c r="A31" t="s">
        <v>69</v>
      </c>
    </row>
    <row r="32" spans="1:1" x14ac:dyDescent="0.25">
      <c r="A32" t="s">
        <v>70</v>
      </c>
    </row>
    <row r="33" spans="1:1" x14ac:dyDescent="0.25">
      <c r="A33" t="s">
        <v>71</v>
      </c>
    </row>
    <row r="34" spans="1:1" x14ac:dyDescent="0.25">
      <c r="A34" t="s">
        <v>72</v>
      </c>
    </row>
    <row r="35" spans="1:1" x14ac:dyDescent="0.25">
      <c r="A35" t="s">
        <v>73</v>
      </c>
    </row>
    <row r="36" spans="1:1" x14ac:dyDescent="0.25">
      <c r="A36" t="s">
        <v>74</v>
      </c>
    </row>
    <row r="37" spans="1:1" x14ac:dyDescent="0.25">
      <c r="A37" t="s">
        <v>75</v>
      </c>
    </row>
    <row r="38" spans="1:1" x14ac:dyDescent="0.25">
      <c r="A38" t="s">
        <v>76</v>
      </c>
    </row>
    <row r="39" spans="1:1" x14ac:dyDescent="0.25">
      <c r="A39" t="s">
        <v>77</v>
      </c>
    </row>
    <row r="40" spans="1:1" x14ac:dyDescent="0.25">
      <c r="A40" t="s">
        <v>78</v>
      </c>
    </row>
    <row r="41" spans="1:1" x14ac:dyDescent="0.25">
      <c r="A41" t="s">
        <v>79</v>
      </c>
    </row>
    <row r="42" spans="1:1" x14ac:dyDescent="0.25">
      <c r="A42" t="s">
        <v>80</v>
      </c>
    </row>
    <row r="43" spans="1:1" x14ac:dyDescent="0.25">
      <c r="A43" t="s">
        <v>81</v>
      </c>
    </row>
    <row r="44" spans="1:1" x14ac:dyDescent="0.25">
      <c r="A44" t="s">
        <v>82</v>
      </c>
    </row>
    <row r="45" spans="1:1" x14ac:dyDescent="0.25">
      <c r="A45" t="s">
        <v>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tabSelected="1" workbookViewId="0">
      <selection activeCell="F16" sqref="F16"/>
    </sheetView>
  </sheetViews>
  <sheetFormatPr defaultRowHeight="15" x14ac:dyDescent="0.25"/>
  <cols>
    <col min="5" max="5" width="5" bestFit="1" customWidth="1"/>
    <col min="7" max="7" width="5.5703125" bestFit="1" customWidth="1"/>
    <col min="8" max="8" width="7.5703125" bestFit="1" customWidth="1"/>
    <col min="9" max="9" width="5.85546875" bestFit="1" customWidth="1"/>
    <col min="10" max="10" width="11.140625" bestFit="1" customWidth="1"/>
    <col min="11" max="11" width="11.5703125" bestFit="1" customWidth="1"/>
    <col min="12" max="12" width="6.85546875" customWidth="1"/>
    <col min="13" max="14" width="5.85546875" customWidth="1"/>
    <col min="15" max="16" width="7.28515625" customWidth="1"/>
    <col min="17" max="18" width="7.5703125" bestFit="1" customWidth="1"/>
    <col min="19" max="19" width="10" bestFit="1" customWidth="1"/>
    <col min="20" max="20" width="10.28515625" bestFit="1" customWidth="1"/>
    <col min="21" max="22" width="8" bestFit="1" customWidth="1"/>
    <col min="23" max="23" width="12.42578125" bestFit="1" customWidth="1"/>
    <col min="24" max="24" width="13.140625" bestFit="1" customWidth="1"/>
  </cols>
  <sheetData>
    <row r="1" spans="1:29" x14ac:dyDescent="0.25">
      <c r="A1" t="s">
        <v>133</v>
      </c>
      <c r="B1" t="s">
        <v>134</v>
      </c>
      <c r="C1" t="s">
        <v>135</v>
      </c>
      <c r="D1" t="s">
        <v>136</v>
      </c>
      <c r="E1" t="s">
        <v>137</v>
      </c>
      <c r="G1" t="s">
        <v>133</v>
      </c>
      <c r="H1" t="s">
        <v>134</v>
      </c>
      <c r="I1" t="s">
        <v>135</v>
      </c>
      <c r="J1" t="s">
        <v>181</v>
      </c>
      <c r="K1" t="s">
        <v>180</v>
      </c>
      <c r="L1" s="21" t="s">
        <v>182</v>
      </c>
      <c r="M1" s="1" t="s">
        <v>183</v>
      </c>
      <c r="N1" s="1" t="s">
        <v>143</v>
      </c>
      <c r="O1" s="33" t="s">
        <v>131</v>
      </c>
      <c r="P1" s="1" t="s">
        <v>139</v>
      </c>
      <c r="Q1" s="1" t="s">
        <v>194</v>
      </c>
      <c r="R1" s="1" t="s">
        <v>195</v>
      </c>
      <c r="S1" s="1" t="s">
        <v>196</v>
      </c>
      <c r="T1" s="1" t="s">
        <v>189</v>
      </c>
      <c r="U1" s="1" t="s">
        <v>190</v>
      </c>
      <c r="V1" s="1" t="s">
        <v>188</v>
      </c>
      <c r="W1" s="1" t="s">
        <v>197</v>
      </c>
      <c r="X1" s="1" t="s">
        <v>198</v>
      </c>
      <c r="Y1" s="1" t="s">
        <v>187</v>
      </c>
      <c r="Z1" s="1" t="s">
        <v>186</v>
      </c>
      <c r="AA1" s="1" t="s">
        <v>193</v>
      </c>
      <c r="AB1" s="1" t="s">
        <v>159</v>
      </c>
      <c r="AC1" s="1" t="s">
        <v>160</v>
      </c>
    </row>
    <row r="2" spans="1:29" x14ac:dyDescent="0.25">
      <c r="A2" t="s">
        <v>138</v>
      </c>
      <c r="B2" t="s">
        <v>131</v>
      </c>
      <c r="C2" t="s">
        <v>139</v>
      </c>
      <c r="D2" t="s">
        <v>140</v>
      </c>
      <c r="E2">
        <v>0</v>
      </c>
      <c r="G2" t="s">
        <v>138</v>
      </c>
      <c r="H2" t="s">
        <v>132</v>
      </c>
      <c r="I2" t="s">
        <v>144</v>
      </c>
      <c r="J2">
        <v>140</v>
      </c>
      <c r="K2">
        <v>4</v>
      </c>
      <c r="L2" s="22">
        <f t="shared" ref="L2:L15" si="0">IF(G2="2nd",1,0)</f>
        <v>0</v>
      </c>
      <c r="M2">
        <f t="shared" ref="M2:M15" si="1">IF(G2="3rd",1,0)</f>
        <v>0</v>
      </c>
      <c r="N2">
        <f t="shared" ref="N2:N15" si="2">IF(G2="Crew",1,0)</f>
        <v>0</v>
      </c>
      <c r="O2" s="8">
        <f t="shared" ref="O2:O15" si="3">IF(H2="Female",0,1)</f>
        <v>0</v>
      </c>
      <c r="P2">
        <f t="shared" ref="P2:P15" si="4">IF(I2="Adult",0,1)</f>
        <v>0</v>
      </c>
      <c r="Q2">
        <f t="shared" ref="Q2:Q15" si="5">O2*L2</f>
        <v>0</v>
      </c>
      <c r="R2">
        <f t="shared" ref="R2:R15" si="6">O2*M2</f>
        <v>0</v>
      </c>
      <c r="S2">
        <f t="shared" ref="S2:S15" si="7">O2*N2</f>
        <v>0</v>
      </c>
      <c r="T2">
        <f t="shared" ref="T2:T15" si="8">L2*P2</f>
        <v>0</v>
      </c>
      <c r="U2">
        <f t="shared" ref="U2:U15" si="9">M2*P2</f>
        <v>0</v>
      </c>
      <c r="V2">
        <f t="shared" ref="V2:V15" si="10">O2*P2</f>
        <v>0</v>
      </c>
      <c r="W2">
        <f t="shared" ref="W2:W15" si="11">V2*L2</f>
        <v>0</v>
      </c>
      <c r="X2">
        <f t="shared" ref="X2:X15" si="12">V2*M2</f>
        <v>0</v>
      </c>
      <c r="Y2">
        <f t="shared" ref="Y2:Y15" si="13">K$16+O$16*O2+L$16*L2+M$16*M2+N$16*N2+P$16*P2+Q$16*Q2+R$16*R2+S$16*S2+V$16*V2+T$16*T2+U$16*U2+W$16*W2+X$16*X2</f>
        <v>3.5560949569544027</v>
      </c>
      <c r="Z2">
        <f>EXP(Y2)/(1+EXP(Y2))</f>
        <v>0.97224238589756429</v>
      </c>
      <c r="AA2">
        <f t="shared" ref="AA2:AA15" si="14">LN(_xlfn.BINOM.DIST(J2,J2+K2,Z2,FALSE))</f>
        <v>-1.61880856615337</v>
      </c>
      <c r="AB2">
        <f t="shared" ref="AB2:AB15" si="15">LN(_xlfn.BINOM.DIST(J2,J2+K2,K$18,FALSE))</f>
        <v>-42.692295905600695</v>
      </c>
      <c r="AC2">
        <f t="shared" ref="AC2:AC15" si="16">LN(_xlfn.BINOM.DIST(J2,J2+K2,J2/(J2+K2),FALSE))</f>
        <v>-1.6188074816945335</v>
      </c>
    </row>
    <row r="3" spans="1:29" x14ac:dyDescent="0.25">
      <c r="A3" t="s">
        <v>141</v>
      </c>
      <c r="B3" t="s">
        <v>131</v>
      </c>
      <c r="C3" t="s">
        <v>139</v>
      </c>
      <c r="D3" t="s">
        <v>140</v>
      </c>
      <c r="E3">
        <v>0</v>
      </c>
      <c r="G3" t="s">
        <v>138</v>
      </c>
      <c r="H3" t="s">
        <v>132</v>
      </c>
      <c r="I3" t="s">
        <v>139</v>
      </c>
      <c r="J3">
        <v>1</v>
      </c>
      <c r="K3">
        <v>0</v>
      </c>
      <c r="L3" s="22">
        <f t="shared" si="0"/>
        <v>0</v>
      </c>
      <c r="M3">
        <f t="shared" si="1"/>
        <v>0</v>
      </c>
      <c r="N3">
        <f t="shared" si="2"/>
        <v>0</v>
      </c>
      <c r="O3" s="8">
        <f t="shared" si="3"/>
        <v>0</v>
      </c>
      <c r="P3">
        <f t="shared" si="4"/>
        <v>1</v>
      </c>
      <c r="Q3">
        <f t="shared" si="5"/>
        <v>0</v>
      </c>
      <c r="R3">
        <f t="shared" si="6"/>
        <v>0</v>
      </c>
      <c r="S3">
        <f t="shared" si="7"/>
        <v>0</v>
      </c>
      <c r="T3">
        <f t="shared" si="8"/>
        <v>0</v>
      </c>
      <c r="U3">
        <f t="shared" si="9"/>
        <v>0</v>
      </c>
      <c r="V3">
        <f t="shared" si="10"/>
        <v>0</v>
      </c>
      <c r="W3">
        <f t="shared" si="11"/>
        <v>0</v>
      </c>
      <c r="X3">
        <f t="shared" si="12"/>
        <v>0</v>
      </c>
      <c r="Y3">
        <f t="shared" si="13"/>
        <v>14.232417225642262</v>
      </c>
      <c r="Z3">
        <f t="shared" ref="Z3:Z14" si="17">EXP(Y3)/(1+EXP(Y3))</f>
        <v>0.99999934091800358</v>
      </c>
      <c r="AA3">
        <f t="shared" si="14"/>
        <v>-6.5908221361825054E-7</v>
      </c>
      <c r="AB3">
        <f t="shared" si="15"/>
        <v>-0.39175005119451828</v>
      </c>
      <c r="AC3">
        <f t="shared" si="16"/>
        <v>0</v>
      </c>
    </row>
    <row r="4" spans="1:29" x14ac:dyDescent="0.25">
      <c r="A4" t="s">
        <v>142</v>
      </c>
      <c r="B4" t="s">
        <v>131</v>
      </c>
      <c r="C4" t="s">
        <v>139</v>
      </c>
      <c r="D4" t="s">
        <v>140</v>
      </c>
      <c r="E4">
        <v>35</v>
      </c>
      <c r="G4" s="6" t="s">
        <v>138</v>
      </c>
      <c r="H4" s="6" t="s">
        <v>131</v>
      </c>
      <c r="I4" s="6" t="s">
        <v>144</v>
      </c>
      <c r="J4" s="6">
        <v>57</v>
      </c>
      <c r="K4" s="6">
        <v>118</v>
      </c>
      <c r="L4" s="26">
        <f t="shared" si="0"/>
        <v>0</v>
      </c>
      <c r="M4" s="6">
        <f t="shared" si="1"/>
        <v>0</v>
      </c>
      <c r="N4" s="6">
        <f t="shared" si="2"/>
        <v>0</v>
      </c>
      <c r="O4" s="34">
        <f t="shared" si="3"/>
        <v>1</v>
      </c>
      <c r="P4" s="6">
        <f t="shared" si="4"/>
        <v>0</v>
      </c>
      <c r="Q4" s="6">
        <f t="shared" si="5"/>
        <v>0</v>
      </c>
      <c r="R4" s="6">
        <f t="shared" si="6"/>
        <v>0</v>
      </c>
      <c r="S4" s="6">
        <f t="shared" si="7"/>
        <v>0</v>
      </c>
      <c r="T4" s="6">
        <f t="shared" si="8"/>
        <v>0</v>
      </c>
      <c r="U4" s="6">
        <f t="shared" si="9"/>
        <v>0</v>
      </c>
      <c r="V4" s="6">
        <f t="shared" si="10"/>
        <v>0</v>
      </c>
      <c r="W4" s="6">
        <f t="shared" si="11"/>
        <v>0</v>
      </c>
      <c r="X4" s="6">
        <f t="shared" si="12"/>
        <v>0</v>
      </c>
      <c r="Y4" s="6">
        <f t="shared" si="13"/>
        <v>-0.72772908360684951</v>
      </c>
      <c r="Z4" s="6">
        <f t="shared" si="17"/>
        <v>0.3256932620768514</v>
      </c>
      <c r="AA4">
        <f t="shared" si="14"/>
        <v>-2.7451056648371215</v>
      </c>
      <c r="AB4">
        <f t="shared" si="15"/>
        <v>-47.573174605878243</v>
      </c>
      <c r="AC4">
        <f t="shared" si="16"/>
        <v>-2.745105488739835</v>
      </c>
    </row>
    <row r="5" spans="1:29" x14ac:dyDescent="0.25">
      <c r="A5" t="s">
        <v>143</v>
      </c>
      <c r="B5" t="s">
        <v>131</v>
      </c>
      <c r="C5" t="s">
        <v>139</v>
      </c>
      <c r="D5" t="s">
        <v>140</v>
      </c>
      <c r="E5">
        <v>0</v>
      </c>
      <c r="G5" t="s">
        <v>138</v>
      </c>
      <c r="H5" t="s">
        <v>131</v>
      </c>
      <c r="I5" t="s">
        <v>139</v>
      </c>
      <c r="J5">
        <v>5</v>
      </c>
      <c r="K5">
        <v>0</v>
      </c>
      <c r="L5" s="22">
        <f t="shared" si="0"/>
        <v>0</v>
      </c>
      <c r="M5">
        <f t="shared" si="1"/>
        <v>0</v>
      </c>
      <c r="N5">
        <f t="shared" si="2"/>
        <v>0</v>
      </c>
      <c r="O5" s="8">
        <f t="shared" si="3"/>
        <v>1</v>
      </c>
      <c r="P5">
        <f t="shared" si="4"/>
        <v>1</v>
      </c>
      <c r="Q5">
        <f t="shared" si="5"/>
        <v>0</v>
      </c>
      <c r="R5">
        <f t="shared" si="6"/>
        <v>0</v>
      </c>
      <c r="S5">
        <f t="shared" si="7"/>
        <v>0</v>
      </c>
      <c r="T5">
        <f t="shared" si="8"/>
        <v>0</v>
      </c>
      <c r="U5">
        <f t="shared" si="9"/>
        <v>0</v>
      </c>
      <c r="V5">
        <f t="shared" si="10"/>
        <v>1</v>
      </c>
      <c r="W5">
        <f t="shared" si="11"/>
        <v>0</v>
      </c>
      <c r="X5">
        <f t="shared" si="12"/>
        <v>0</v>
      </c>
      <c r="Y5">
        <f t="shared" si="13"/>
        <v>16.90341377423006</v>
      </c>
      <c r="Z5">
        <f t="shared" si="17"/>
        <v>0.99999995440253986</v>
      </c>
      <c r="AA5">
        <f t="shared" si="14"/>
        <v>-2.279873059328793E-7</v>
      </c>
      <c r="AB5">
        <f t="shared" si="15"/>
        <v>-1.9587502559725913</v>
      </c>
      <c r="AC5">
        <f t="shared" si="16"/>
        <v>0</v>
      </c>
    </row>
    <row r="6" spans="1:29" x14ac:dyDescent="0.25">
      <c r="A6" t="s">
        <v>138</v>
      </c>
      <c r="B6" t="s">
        <v>132</v>
      </c>
      <c r="C6" t="s">
        <v>139</v>
      </c>
      <c r="D6" t="s">
        <v>140</v>
      </c>
      <c r="E6">
        <v>0</v>
      </c>
      <c r="G6" t="s">
        <v>141</v>
      </c>
      <c r="H6" t="s">
        <v>132</v>
      </c>
      <c r="I6" t="s">
        <v>144</v>
      </c>
      <c r="J6">
        <v>80</v>
      </c>
      <c r="K6">
        <v>13</v>
      </c>
      <c r="L6" s="22">
        <f t="shared" si="0"/>
        <v>1</v>
      </c>
      <c r="M6">
        <f t="shared" si="1"/>
        <v>0</v>
      </c>
      <c r="N6">
        <f t="shared" si="2"/>
        <v>0</v>
      </c>
      <c r="O6" s="8">
        <f t="shared" si="3"/>
        <v>0</v>
      </c>
      <c r="P6">
        <f t="shared" si="4"/>
        <v>0</v>
      </c>
      <c r="Q6">
        <f t="shared" si="5"/>
        <v>0</v>
      </c>
      <c r="R6">
        <f t="shared" si="6"/>
        <v>0</v>
      </c>
      <c r="S6">
        <f t="shared" si="7"/>
        <v>0</v>
      </c>
      <c r="T6">
        <f t="shared" si="8"/>
        <v>0</v>
      </c>
      <c r="U6">
        <f t="shared" si="9"/>
        <v>0</v>
      </c>
      <c r="V6">
        <f t="shared" si="10"/>
        <v>0</v>
      </c>
      <c r="W6">
        <f t="shared" si="11"/>
        <v>0</v>
      </c>
      <c r="X6">
        <f t="shared" si="12"/>
        <v>0</v>
      </c>
      <c r="Y6">
        <f t="shared" si="13"/>
        <v>1.8168427910954186</v>
      </c>
      <c r="Z6">
        <f t="shared" si="17"/>
        <v>0.86018685557169206</v>
      </c>
      <c r="AA6">
        <f t="shared" si="14"/>
        <v>-2.1326816916842213</v>
      </c>
      <c r="AB6">
        <f t="shared" si="15"/>
        <v>-10.493464341415576</v>
      </c>
      <c r="AC6">
        <f t="shared" si="16"/>
        <v>-2.1326813842309491</v>
      </c>
    </row>
    <row r="7" spans="1:29" x14ac:dyDescent="0.25">
      <c r="A7" t="s">
        <v>141</v>
      </c>
      <c r="B7" t="s">
        <v>132</v>
      </c>
      <c r="C7" t="s">
        <v>139</v>
      </c>
      <c r="D7" t="s">
        <v>140</v>
      </c>
      <c r="E7">
        <v>0</v>
      </c>
      <c r="G7" t="s">
        <v>141</v>
      </c>
      <c r="H7" t="s">
        <v>132</v>
      </c>
      <c r="I7" t="s">
        <v>139</v>
      </c>
      <c r="J7">
        <v>13</v>
      </c>
      <c r="K7">
        <v>0</v>
      </c>
      <c r="L7" s="22">
        <f t="shared" si="0"/>
        <v>1</v>
      </c>
      <c r="M7">
        <f t="shared" si="1"/>
        <v>0</v>
      </c>
      <c r="N7">
        <f t="shared" si="2"/>
        <v>0</v>
      </c>
      <c r="O7" s="8">
        <f t="shared" si="3"/>
        <v>0</v>
      </c>
      <c r="P7">
        <f t="shared" si="4"/>
        <v>1</v>
      </c>
      <c r="Q7">
        <f t="shared" si="5"/>
        <v>0</v>
      </c>
      <c r="R7">
        <f t="shared" si="6"/>
        <v>0</v>
      </c>
      <c r="S7">
        <f t="shared" si="7"/>
        <v>0</v>
      </c>
      <c r="T7">
        <f t="shared" si="8"/>
        <v>1</v>
      </c>
      <c r="U7">
        <f t="shared" si="9"/>
        <v>0</v>
      </c>
      <c r="V7">
        <f t="shared" si="10"/>
        <v>0</v>
      </c>
      <c r="W7">
        <f t="shared" si="11"/>
        <v>0</v>
      </c>
      <c r="X7">
        <f t="shared" si="12"/>
        <v>0</v>
      </c>
      <c r="Y7">
        <f t="shared" si="13"/>
        <v>19.052862715144393</v>
      </c>
      <c r="Z7">
        <f t="shared" si="17"/>
        <v>0.99999999468569034</v>
      </c>
      <c r="AA7">
        <f t="shared" si="14"/>
        <v>-6.9086025732982329E-8</v>
      </c>
      <c r="AB7">
        <f t="shared" si="15"/>
        <v>-5.0927506655287376</v>
      </c>
      <c r="AC7">
        <f t="shared" si="16"/>
        <v>0</v>
      </c>
    </row>
    <row r="8" spans="1:29" x14ac:dyDescent="0.25">
      <c r="A8" t="s">
        <v>142</v>
      </c>
      <c r="B8" t="s">
        <v>132</v>
      </c>
      <c r="C8" t="s">
        <v>139</v>
      </c>
      <c r="D8" t="s">
        <v>140</v>
      </c>
      <c r="E8">
        <v>17</v>
      </c>
      <c r="G8" s="31" t="s">
        <v>141</v>
      </c>
      <c r="H8" s="31" t="s">
        <v>131</v>
      </c>
      <c r="I8" s="31" t="s">
        <v>144</v>
      </c>
      <c r="J8" s="31">
        <v>14</v>
      </c>
      <c r="K8" s="31">
        <v>154</v>
      </c>
      <c r="L8" s="32">
        <f t="shared" si="0"/>
        <v>1</v>
      </c>
      <c r="M8" s="31">
        <f t="shared" si="1"/>
        <v>0</v>
      </c>
      <c r="N8" s="31">
        <f t="shared" si="2"/>
        <v>0</v>
      </c>
      <c r="O8" s="35">
        <f t="shared" si="3"/>
        <v>1</v>
      </c>
      <c r="P8" s="31">
        <f t="shared" si="4"/>
        <v>0</v>
      </c>
      <c r="Q8" s="31">
        <f t="shared" si="5"/>
        <v>1</v>
      </c>
      <c r="R8" s="31">
        <f t="shared" si="6"/>
        <v>0</v>
      </c>
      <c r="S8" s="31">
        <f t="shared" si="7"/>
        <v>0</v>
      </c>
      <c r="T8" s="31">
        <f t="shared" si="8"/>
        <v>0</v>
      </c>
      <c r="U8" s="31">
        <f t="shared" si="9"/>
        <v>0</v>
      </c>
      <c r="V8" s="31">
        <f t="shared" si="10"/>
        <v>0</v>
      </c>
      <c r="W8" s="31">
        <f t="shared" si="11"/>
        <v>0</v>
      </c>
      <c r="X8" s="31">
        <f t="shared" si="12"/>
        <v>0</v>
      </c>
      <c r="Y8" s="31">
        <f t="shared" si="13"/>
        <v>-2.3976956308622221</v>
      </c>
      <c r="Z8" s="31">
        <f t="shared" si="17"/>
        <v>8.3348585027659752E-2</v>
      </c>
      <c r="AA8">
        <f t="shared" si="14"/>
        <v>-2.2009582290132492</v>
      </c>
      <c r="AB8">
        <f t="shared" si="15"/>
        <v>-132.99648529120662</v>
      </c>
      <c r="AC8">
        <f t="shared" si="16"/>
        <v>-2.2009579732506075</v>
      </c>
    </row>
    <row r="9" spans="1:29" x14ac:dyDescent="0.25">
      <c r="A9" t="s">
        <v>143</v>
      </c>
      <c r="B9" t="s">
        <v>132</v>
      </c>
      <c r="C9" t="s">
        <v>139</v>
      </c>
      <c r="D9" t="s">
        <v>140</v>
      </c>
      <c r="E9">
        <v>0</v>
      </c>
      <c r="G9" t="s">
        <v>141</v>
      </c>
      <c r="H9" t="s">
        <v>131</v>
      </c>
      <c r="I9" t="s">
        <v>139</v>
      </c>
      <c r="J9">
        <v>11</v>
      </c>
      <c r="K9">
        <v>0</v>
      </c>
      <c r="L9" s="22">
        <f t="shared" si="0"/>
        <v>1</v>
      </c>
      <c r="M9">
        <f t="shared" si="1"/>
        <v>0</v>
      </c>
      <c r="N9">
        <f t="shared" si="2"/>
        <v>0</v>
      </c>
      <c r="O9" s="8">
        <f t="shared" si="3"/>
        <v>1</v>
      </c>
      <c r="P9">
        <f t="shared" si="4"/>
        <v>1</v>
      </c>
      <c r="Q9">
        <f t="shared" si="5"/>
        <v>1</v>
      </c>
      <c r="R9">
        <f t="shared" si="6"/>
        <v>0</v>
      </c>
      <c r="S9">
        <f t="shared" si="7"/>
        <v>0</v>
      </c>
      <c r="T9">
        <f t="shared" si="8"/>
        <v>1</v>
      </c>
      <c r="U9">
        <f t="shared" si="9"/>
        <v>0</v>
      </c>
      <c r="V9">
        <f t="shared" si="10"/>
        <v>1</v>
      </c>
      <c r="W9">
        <f t="shared" si="11"/>
        <v>1</v>
      </c>
      <c r="X9">
        <f t="shared" si="12"/>
        <v>0</v>
      </c>
      <c r="Y9">
        <f t="shared" si="13"/>
        <v>26.009771845521637</v>
      </c>
      <c r="Z9">
        <f t="shared" si="17"/>
        <v>0.9999999999949406</v>
      </c>
      <c r="AA9">
        <f t="shared" si="14"/>
        <v>-5.565337080226096E-11</v>
      </c>
      <c r="AB9">
        <f t="shared" si="15"/>
        <v>-4.3092505631397007</v>
      </c>
      <c r="AC9">
        <f t="shared" si="16"/>
        <v>0</v>
      </c>
    </row>
    <row r="10" spans="1:29" x14ac:dyDescent="0.25">
      <c r="A10" t="s">
        <v>138</v>
      </c>
      <c r="B10" t="s">
        <v>131</v>
      </c>
      <c r="C10" t="s">
        <v>144</v>
      </c>
      <c r="D10" t="s">
        <v>140</v>
      </c>
      <c r="E10">
        <v>118</v>
      </c>
      <c r="G10" s="27" t="s">
        <v>142</v>
      </c>
      <c r="H10" s="27" t="s">
        <v>132</v>
      </c>
      <c r="I10" s="27" t="s">
        <v>144</v>
      </c>
      <c r="J10" s="27">
        <v>76</v>
      </c>
      <c r="K10" s="27">
        <v>89</v>
      </c>
      <c r="L10" s="28">
        <f t="shared" si="0"/>
        <v>0</v>
      </c>
      <c r="M10" s="27">
        <f t="shared" si="1"/>
        <v>1</v>
      </c>
      <c r="N10" s="27">
        <f t="shared" si="2"/>
        <v>0</v>
      </c>
      <c r="O10" s="36">
        <f t="shared" si="3"/>
        <v>0</v>
      </c>
      <c r="P10" s="27">
        <f t="shared" si="4"/>
        <v>0</v>
      </c>
      <c r="Q10" s="27">
        <f t="shared" si="5"/>
        <v>0</v>
      </c>
      <c r="R10" s="27">
        <f t="shared" si="6"/>
        <v>0</v>
      </c>
      <c r="S10" s="27">
        <f t="shared" si="7"/>
        <v>0</v>
      </c>
      <c r="T10" s="27">
        <f t="shared" si="8"/>
        <v>0</v>
      </c>
      <c r="U10" s="27">
        <f t="shared" si="9"/>
        <v>0</v>
      </c>
      <c r="V10" s="27">
        <f t="shared" si="10"/>
        <v>0</v>
      </c>
      <c r="W10" s="27">
        <f t="shared" si="11"/>
        <v>0</v>
      </c>
      <c r="X10" s="27">
        <f t="shared" si="12"/>
        <v>0</v>
      </c>
      <c r="Y10" s="27">
        <f t="shared" si="13"/>
        <v>-0.15790862310310683</v>
      </c>
      <c r="Z10" s="27">
        <f t="shared" si="17"/>
        <v>0.46060467087274098</v>
      </c>
      <c r="AA10">
        <f t="shared" si="14"/>
        <v>-2.7771784125666552</v>
      </c>
      <c r="AB10">
        <f t="shared" si="15"/>
        <v>-18.962725111874981</v>
      </c>
      <c r="AC10">
        <f t="shared" si="16"/>
        <v>-2.7771784119253256</v>
      </c>
    </row>
    <row r="11" spans="1:29" x14ac:dyDescent="0.25">
      <c r="A11" t="s">
        <v>141</v>
      </c>
      <c r="B11" t="s">
        <v>131</v>
      </c>
      <c r="C11" t="s">
        <v>144</v>
      </c>
      <c r="D11" t="s">
        <v>140</v>
      </c>
      <c r="E11">
        <v>154</v>
      </c>
      <c r="G11" s="27" t="s">
        <v>142</v>
      </c>
      <c r="H11" s="27" t="s">
        <v>132</v>
      </c>
      <c r="I11" s="27" t="s">
        <v>139</v>
      </c>
      <c r="J11" s="27">
        <v>14</v>
      </c>
      <c r="K11" s="27">
        <v>17</v>
      </c>
      <c r="L11" s="28">
        <f t="shared" si="0"/>
        <v>0</v>
      </c>
      <c r="M11" s="27">
        <f t="shared" si="1"/>
        <v>1</v>
      </c>
      <c r="N11" s="27">
        <f t="shared" si="2"/>
        <v>0</v>
      </c>
      <c r="O11" s="36">
        <f t="shared" si="3"/>
        <v>0</v>
      </c>
      <c r="P11" s="27">
        <f t="shared" si="4"/>
        <v>1</v>
      </c>
      <c r="Q11" s="27">
        <f t="shared" si="5"/>
        <v>0</v>
      </c>
      <c r="R11" s="27">
        <f t="shared" si="6"/>
        <v>0</v>
      </c>
      <c r="S11" s="27">
        <f t="shared" si="7"/>
        <v>0</v>
      </c>
      <c r="T11" s="27">
        <f t="shared" si="8"/>
        <v>0</v>
      </c>
      <c r="U11" s="27">
        <f t="shared" si="9"/>
        <v>1</v>
      </c>
      <c r="V11" s="27">
        <f t="shared" si="10"/>
        <v>0</v>
      </c>
      <c r="W11" s="27">
        <f t="shared" si="11"/>
        <v>0</v>
      </c>
      <c r="X11" s="27">
        <f t="shared" si="12"/>
        <v>0</v>
      </c>
      <c r="Y11" s="27">
        <f t="shared" si="13"/>
        <v>-0.19414516137445403</v>
      </c>
      <c r="Z11" s="27">
        <f t="shared" si="17"/>
        <v>0.45161559108343835</v>
      </c>
      <c r="AA11">
        <f t="shared" si="14"/>
        <v>-1.9462449554826575</v>
      </c>
      <c r="AB11">
        <f t="shared" si="15"/>
        <v>-5.2411108860845035</v>
      </c>
      <c r="AC11">
        <f t="shared" si="16"/>
        <v>-1.9462449550304994</v>
      </c>
    </row>
    <row r="12" spans="1:29" x14ac:dyDescent="0.25">
      <c r="A12" t="s">
        <v>142</v>
      </c>
      <c r="B12" t="s">
        <v>131</v>
      </c>
      <c r="C12" t="s">
        <v>144</v>
      </c>
      <c r="D12" t="s">
        <v>140</v>
      </c>
      <c r="E12">
        <v>387</v>
      </c>
      <c r="G12" s="6" t="s">
        <v>142</v>
      </c>
      <c r="H12" s="6" t="s">
        <v>131</v>
      </c>
      <c r="I12" s="6" t="s">
        <v>144</v>
      </c>
      <c r="J12" s="6">
        <v>75</v>
      </c>
      <c r="K12" s="6">
        <v>387</v>
      </c>
      <c r="L12" s="26">
        <f t="shared" si="0"/>
        <v>0</v>
      </c>
      <c r="M12" s="6">
        <f t="shared" si="1"/>
        <v>1</v>
      </c>
      <c r="N12" s="6">
        <f t="shared" si="2"/>
        <v>0</v>
      </c>
      <c r="O12" s="34">
        <f t="shared" si="3"/>
        <v>1</v>
      </c>
      <c r="P12" s="6">
        <f t="shared" si="4"/>
        <v>0</v>
      </c>
      <c r="Q12" s="6">
        <f t="shared" si="5"/>
        <v>0</v>
      </c>
      <c r="R12" s="6">
        <f t="shared" si="6"/>
        <v>1</v>
      </c>
      <c r="S12" s="6">
        <f t="shared" si="7"/>
        <v>0</v>
      </c>
      <c r="T12" s="6">
        <f t="shared" si="8"/>
        <v>0</v>
      </c>
      <c r="U12" s="6">
        <f t="shared" si="9"/>
        <v>0</v>
      </c>
      <c r="V12" s="6">
        <f t="shared" si="10"/>
        <v>0</v>
      </c>
      <c r="W12" s="6">
        <f t="shared" si="11"/>
        <v>0</v>
      </c>
      <c r="X12" s="6">
        <f t="shared" si="12"/>
        <v>0</v>
      </c>
      <c r="Y12" s="6">
        <f t="shared" si="13"/>
        <v>-1.64094508597959</v>
      </c>
      <c r="Z12" s="6">
        <f t="shared" si="17"/>
        <v>0.16233650559373694</v>
      </c>
      <c r="AA12">
        <f t="shared" si="14"/>
        <v>-2.9902585541574838</v>
      </c>
      <c r="AB12">
        <f t="shared" si="15"/>
        <v>-263.46441670904602</v>
      </c>
      <c r="AC12">
        <f t="shared" si="16"/>
        <v>-2.990258551884482</v>
      </c>
    </row>
    <row r="13" spans="1:29" x14ac:dyDescent="0.25">
      <c r="A13" t="s">
        <v>143</v>
      </c>
      <c r="B13" t="s">
        <v>131</v>
      </c>
      <c r="C13" t="s">
        <v>144</v>
      </c>
      <c r="D13" t="s">
        <v>140</v>
      </c>
      <c r="E13">
        <v>670</v>
      </c>
      <c r="G13" s="29" t="s">
        <v>142</v>
      </c>
      <c r="H13" s="29" t="s">
        <v>131</v>
      </c>
      <c r="I13" s="29" t="s">
        <v>139</v>
      </c>
      <c r="J13" s="29">
        <v>13</v>
      </c>
      <c r="K13" s="29">
        <v>35</v>
      </c>
      <c r="L13" s="30">
        <f t="shared" si="0"/>
        <v>0</v>
      </c>
      <c r="M13" s="29">
        <f t="shared" si="1"/>
        <v>1</v>
      </c>
      <c r="N13" s="29">
        <f t="shared" si="2"/>
        <v>0</v>
      </c>
      <c r="O13" s="37">
        <f t="shared" si="3"/>
        <v>1</v>
      </c>
      <c r="P13" s="29">
        <f t="shared" si="4"/>
        <v>1</v>
      </c>
      <c r="Q13" s="29">
        <f t="shared" si="5"/>
        <v>0</v>
      </c>
      <c r="R13" s="29">
        <f t="shared" si="6"/>
        <v>1</v>
      </c>
      <c r="S13" s="29">
        <f t="shared" si="7"/>
        <v>0</v>
      </c>
      <c r="T13" s="29">
        <f t="shared" si="8"/>
        <v>0</v>
      </c>
      <c r="U13" s="29">
        <f t="shared" si="9"/>
        <v>1</v>
      </c>
      <c r="V13" s="29">
        <f t="shared" si="10"/>
        <v>1</v>
      </c>
      <c r="W13" s="29">
        <f t="shared" si="11"/>
        <v>0</v>
      </c>
      <c r="X13" s="29">
        <f t="shared" si="12"/>
        <v>1</v>
      </c>
      <c r="Y13" s="29">
        <f t="shared" si="13"/>
        <v>-0.99041186196107756</v>
      </c>
      <c r="Z13" s="29">
        <f t="shared" si="17"/>
        <v>0.27083073487779785</v>
      </c>
      <c r="AA13">
        <f t="shared" si="14"/>
        <v>-2.0505405338461324</v>
      </c>
      <c r="AB13">
        <f t="shared" si="15"/>
        <v>-18.538864600165851</v>
      </c>
      <c r="AC13">
        <f t="shared" si="16"/>
        <v>-2.0505405330255639</v>
      </c>
    </row>
    <row r="14" spans="1:29" x14ac:dyDescent="0.25">
      <c r="A14" t="s">
        <v>138</v>
      </c>
      <c r="B14" t="s">
        <v>132</v>
      </c>
      <c r="C14" t="s">
        <v>144</v>
      </c>
      <c r="D14" t="s">
        <v>140</v>
      </c>
      <c r="E14">
        <v>4</v>
      </c>
      <c r="G14" t="s">
        <v>143</v>
      </c>
      <c r="H14" t="s">
        <v>132</v>
      </c>
      <c r="I14" t="s">
        <v>144</v>
      </c>
      <c r="J14">
        <v>20</v>
      </c>
      <c r="K14">
        <v>3</v>
      </c>
      <c r="L14" s="22">
        <f t="shared" si="0"/>
        <v>0</v>
      </c>
      <c r="M14">
        <f t="shared" si="1"/>
        <v>0</v>
      </c>
      <c r="N14">
        <f t="shared" si="2"/>
        <v>1</v>
      </c>
      <c r="O14" s="8">
        <f t="shared" si="3"/>
        <v>0</v>
      </c>
      <c r="P14">
        <f t="shared" si="4"/>
        <v>0</v>
      </c>
      <c r="Q14">
        <f t="shared" si="5"/>
        <v>0</v>
      </c>
      <c r="R14">
        <f t="shared" si="6"/>
        <v>0</v>
      </c>
      <c r="S14">
        <f t="shared" si="7"/>
        <v>0</v>
      </c>
      <c r="T14">
        <f t="shared" si="8"/>
        <v>0</v>
      </c>
      <c r="U14">
        <f t="shared" si="9"/>
        <v>0</v>
      </c>
      <c r="V14">
        <f t="shared" si="10"/>
        <v>0</v>
      </c>
      <c r="W14">
        <f t="shared" si="11"/>
        <v>0</v>
      </c>
      <c r="X14">
        <f t="shared" si="12"/>
        <v>0</v>
      </c>
      <c r="Y14">
        <f t="shared" si="13"/>
        <v>1.8970814266371352</v>
      </c>
      <c r="Z14">
        <f t="shared" si="17"/>
        <v>0.86956084399264322</v>
      </c>
      <c r="AA14">
        <f t="shared" si="14"/>
        <v>-1.4265849934427031</v>
      </c>
      <c r="AB14">
        <f t="shared" si="15"/>
        <v>-3.7355612254841781</v>
      </c>
      <c r="AC14">
        <f t="shared" si="16"/>
        <v>-1.4265849915034605</v>
      </c>
    </row>
    <row r="15" spans="1:29" ht="15.75" thickBot="1" x14ac:dyDescent="0.3">
      <c r="A15" t="s">
        <v>141</v>
      </c>
      <c r="B15" t="s">
        <v>132</v>
      </c>
      <c r="C15" t="s">
        <v>144</v>
      </c>
      <c r="D15" t="s">
        <v>140</v>
      </c>
      <c r="E15">
        <v>13</v>
      </c>
      <c r="G15" s="29" t="s">
        <v>143</v>
      </c>
      <c r="H15" s="29" t="s">
        <v>131</v>
      </c>
      <c r="I15" s="29" t="s">
        <v>144</v>
      </c>
      <c r="J15" s="29">
        <v>192</v>
      </c>
      <c r="K15" s="29">
        <v>670</v>
      </c>
      <c r="L15" s="38">
        <f t="shared" si="0"/>
        <v>0</v>
      </c>
      <c r="M15" s="29">
        <f t="shared" si="1"/>
        <v>0</v>
      </c>
      <c r="N15" s="29">
        <f t="shared" si="2"/>
        <v>1</v>
      </c>
      <c r="O15" s="37">
        <f t="shared" si="3"/>
        <v>1</v>
      </c>
      <c r="P15" s="29">
        <f t="shared" si="4"/>
        <v>0</v>
      </c>
      <c r="Q15" s="29">
        <f t="shared" si="5"/>
        <v>0</v>
      </c>
      <c r="R15" s="29">
        <f t="shared" si="6"/>
        <v>0</v>
      </c>
      <c r="S15" s="29">
        <f t="shared" si="7"/>
        <v>1</v>
      </c>
      <c r="T15" s="29">
        <f t="shared" si="8"/>
        <v>0</v>
      </c>
      <c r="U15" s="29">
        <f t="shared" si="9"/>
        <v>0</v>
      </c>
      <c r="V15" s="29">
        <f t="shared" si="10"/>
        <v>0</v>
      </c>
      <c r="W15" s="29">
        <f t="shared" si="11"/>
        <v>0</v>
      </c>
      <c r="X15" s="29">
        <f t="shared" si="12"/>
        <v>0</v>
      </c>
      <c r="Y15" s="29">
        <f t="shared" si="13"/>
        <v>-1.2497872860855044</v>
      </c>
      <c r="Z15" s="29">
        <f>EXP(Y15)/(1+EXP(Y15))</f>
        <v>0.22273696279411076</v>
      </c>
      <c r="AA15">
        <f t="shared" si="14"/>
        <v>-3.4221591729936316</v>
      </c>
      <c r="AB15">
        <f t="shared" si="15"/>
        <v>-376.31066854315526</v>
      </c>
      <c r="AC15">
        <f t="shared" si="16"/>
        <v>-3.4221591711684805</v>
      </c>
    </row>
    <row r="16" spans="1:29" ht="15.75" thickBot="1" x14ac:dyDescent="0.3">
      <c r="A16" t="s">
        <v>142</v>
      </c>
      <c r="B16" t="s">
        <v>132</v>
      </c>
      <c r="C16" t="s">
        <v>144</v>
      </c>
      <c r="D16" t="s">
        <v>140</v>
      </c>
      <c r="E16">
        <v>89</v>
      </c>
      <c r="J16" s="20" t="s">
        <v>184</v>
      </c>
      <c r="K16" s="18">
        <v>3.5560949569544027</v>
      </c>
      <c r="L16" s="18">
        <v>-1.7392521658589841</v>
      </c>
      <c r="M16" s="18">
        <v>-3.7140035800575095</v>
      </c>
      <c r="N16" s="18">
        <v>-1.6590135303172675</v>
      </c>
      <c r="O16" s="18">
        <v>-4.2838240405612522</v>
      </c>
      <c r="P16" s="23">
        <v>10.676322268687858</v>
      </c>
      <c r="Q16" s="24">
        <v>6.9285618603611376E-2</v>
      </c>
      <c r="R16" s="24">
        <v>2.800787577684769</v>
      </c>
      <c r="S16" s="24">
        <v>1.1369553278386124</v>
      </c>
      <c r="T16" s="23">
        <v>6.5596976553611182</v>
      </c>
      <c r="U16" s="23">
        <v>-10.712558806959205</v>
      </c>
      <c r="V16" s="23">
        <v>6.954820589149052</v>
      </c>
      <c r="W16" s="23">
        <v>4.2166269631858286</v>
      </c>
      <c r="X16" s="25">
        <v>-6.2680508268591941</v>
      </c>
      <c r="AA16">
        <f>SUM(AA2:AA15)</f>
        <v>-23.310521730388423</v>
      </c>
      <c r="AB16">
        <f>SUM(AB2:AB15)</f>
        <v>-931.76126875574755</v>
      </c>
      <c r="AC16">
        <f>SUM(AC2:AC15)</f>
        <v>-23.310518942453736</v>
      </c>
    </row>
    <row r="17" spans="1:29" x14ac:dyDescent="0.25">
      <c r="A17" t="s">
        <v>143</v>
      </c>
      <c r="B17" t="s">
        <v>132</v>
      </c>
      <c r="C17" t="s">
        <v>144</v>
      </c>
      <c r="D17" t="s">
        <v>140</v>
      </c>
      <c r="E17">
        <v>3</v>
      </c>
      <c r="J17" t="s">
        <v>185</v>
      </c>
      <c r="K17" t="s">
        <v>192</v>
      </c>
      <c r="Z17" t="s">
        <v>171</v>
      </c>
      <c r="AA17">
        <f>-2*AA16+2*14</f>
        <v>74.621043460776846</v>
      </c>
      <c r="AB17">
        <f>-2*AB16+2*1</f>
        <v>1865.5225375114951</v>
      </c>
      <c r="AC17">
        <f t="shared" ref="AC17" si="18">-2*AC16+2*14</f>
        <v>74.62103788490748</v>
      </c>
    </row>
    <row r="18" spans="1:29" x14ac:dyDescent="0.25">
      <c r="A18" t="s">
        <v>138</v>
      </c>
      <c r="B18" t="s">
        <v>131</v>
      </c>
      <c r="C18" t="s">
        <v>139</v>
      </c>
      <c r="D18" t="s">
        <v>145</v>
      </c>
      <c r="E18">
        <v>5</v>
      </c>
      <c r="J18" t="s">
        <v>191</v>
      </c>
      <c r="K18">
        <f>SUM(K2:K15)/SUM(J2:K16)</f>
        <v>0.67587302650563463</v>
      </c>
    </row>
    <row r="19" spans="1:29" x14ac:dyDescent="0.25">
      <c r="A19" t="s">
        <v>141</v>
      </c>
      <c r="B19" t="s">
        <v>131</v>
      </c>
      <c r="C19" t="s">
        <v>139</v>
      </c>
      <c r="D19" t="s">
        <v>145</v>
      </c>
      <c r="E19">
        <v>11</v>
      </c>
    </row>
    <row r="20" spans="1:29" x14ac:dyDescent="0.25">
      <c r="A20" t="s">
        <v>142</v>
      </c>
      <c r="B20" t="s">
        <v>131</v>
      </c>
      <c r="C20" t="s">
        <v>139</v>
      </c>
      <c r="D20" t="s">
        <v>145</v>
      </c>
      <c r="E20">
        <v>13</v>
      </c>
      <c r="J20" t="s">
        <v>199</v>
      </c>
    </row>
    <row r="21" spans="1:29" x14ac:dyDescent="0.25">
      <c r="A21" t="s">
        <v>143</v>
      </c>
      <c r="B21" t="s">
        <v>131</v>
      </c>
      <c r="C21" t="s">
        <v>139</v>
      </c>
      <c r="D21" t="s">
        <v>145</v>
      </c>
      <c r="E21">
        <v>0</v>
      </c>
      <c r="J21" t="s">
        <v>200</v>
      </c>
    </row>
    <row r="22" spans="1:29" x14ac:dyDescent="0.25">
      <c r="A22" t="s">
        <v>138</v>
      </c>
      <c r="B22" t="s">
        <v>132</v>
      </c>
      <c r="C22" t="s">
        <v>139</v>
      </c>
      <c r="D22" t="s">
        <v>145</v>
      </c>
      <c r="E22">
        <v>1</v>
      </c>
      <c r="J22" t="s">
        <v>201</v>
      </c>
    </row>
    <row r="23" spans="1:29" x14ac:dyDescent="0.25">
      <c r="A23" t="s">
        <v>141</v>
      </c>
      <c r="B23" t="s">
        <v>132</v>
      </c>
      <c r="C23" t="s">
        <v>139</v>
      </c>
      <c r="D23" t="s">
        <v>145</v>
      </c>
      <c r="E23">
        <v>13</v>
      </c>
      <c r="J23" t="s">
        <v>202</v>
      </c>
    </row>
    <row r="24" spans="1:29" x14ac:dyDescent="0.25">
      <c r="A24" t="s">
        <v>142</v>
      </c>
      <c r="B24" t="s">
        <v>132</v>
      </c>
      <c r="C24" t="s">
        <v>139</v>
      </c>
      <c r="D24" t="s">
        <v>145</v>
      </c>
      <c r="E24">
        <v>14</v>
      </c>
    </row>
    <row r="25" spans="1:29" x14ac:dyDescent="0.25">
      <c r="A25" t="s">
        <v>143</v>
      </c>
      <c r="B25" t="s">
        <v>132</v>
      </c>
      <c r="C25" t="s">
        <v>139</v>
      </c>
      <c r="D25" t="s">
        <v>145</v>
      </c>
      <c r="E25">
        <v>0</v>
      </c>
      <c r="H25" t="s">
        <v>205</v>
      </c>
    </row>
    <row r="26" spans="1:29" x14ac:dyDescent="0.25">
      <c r="A26" t="s">
        <v>138</v>
      </c>
      <c r="B26" t="s">
        <v>131</v>
      </c>
      <c r="C26" t="s">
        <v>144</v>
      </c>
      <c r="D26" t="s">
        <v>145</v>
      </c>
      <c r="E26">
        <v>57</v>
      </c>
      <c r="H26" s="27" t="s">
        <v>206</v>
      </c>
    </row>
    <row r="27" spans="1:29" x14ac:dyDescent="0.25">
      <c r="A27" t="s">
        <v>141</v>
      </c>
      <c r="B27" t="s">
        <v>131</v>
      </c>
      <c r="C27" t="s">
        <v>144</v>
      </c>
      <c r="D27" t="s">
        <v>145</v>
      </c>
      <c r="E27">
        <v>14</v>
      </c>
      <c r="H27" s="42" t="s">
        <v>207</v>
      </c>
    </row>
    <row r="28" spans="1:29" x14ac:dyDescent="0.25">
      <c r="A28" t="s">
        <v>142</v>
      </c>
      <c r="B28" t="s">
        <v>131</v>
      </c>
      <c r="C28" t="s">
        <v>144</v>
      </c>
      <c r="D28" t="s">
        <v>145</v>
      </c>
      <c r="E28">
        <v>75</v>
      </c>
    </row>
    <row r="29" spans="1:29" x14ac:dyDescent="0.25">
      <c r="A29" t="s">
        <v>143</v>
      </c>
      <c r="B29" t="s">
        <v>131</v>
      </c>
      <c r="C29" t="s">
        <v>144</v>
      </c>
      <c r="D29" t="s">
        <v>145</v>
      </c>
      <c r="E29">
        <v>192</v>
      </c>
    </row>
    <row r="30" spans="1:29" x14ac:dyDescent="0.25">
      <c r="A30" t="s">
        <v>138</v>
      </c>
      <c r="B30" t="s">
        <v>132</v>
      </c>
      <c r="C30" t="s">
        <v>144</v>
      </c>
      <c r="D30" t="s">
        <v>145</v>
      </c>
      <c r="E30">
        <v>140</v>
      </c>
    </row>
    <row r="31" spans="1:29" x14ac:dyDescent="0.25">
      <c r="A31" t="s">
        <v>141</v>
      </c>
      <c r="B31" t="s">
        <v>132</v>
      </c>
      <c r="C31" t="s">
        <v>144</v>
      </c>
      <c r="D31" t="s">
        <v>145</v>
      </c>
      <c r="E31">
        <v>80</v>
      </c>
    </row>
    <row r="32" spans="1:29" x14ac:dyDescent="0.25">
      <c r="A32" t="s">
        <v>142</v>
      </c>
      <c r="B32" t="s">
        <v>132</v>
      </c>
      <c r="C32" t="s">
        <v>144</v>
      </c>
      <c r="D32" t="s">
        <v>145</v>
      </c>
      <c r="E32">
        <v>76</v>
      </c>
    </row>
    <row r="33" spans="1:5" x14ac:dyDescent="0.25">
      <c r="A33" t="s">
        <v>143</v>
      </c>
      <c r="B33" t="s">
        <v>132</v>
      </c>
      <c r="C33" t="s">
        <v>144</v>
      </c>
      <c r="D33" t="s">
        <v>145</v>
      </c>
      <c r="E33">
        <v>20</v>
      </c>
    </row>
  </sheetData>
  <sortState ref="G2:K33">
    <sortCondition ref="G2:G33"/>
    <sortCondition ref="H2:H33"/>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selection activeCell="S17" sqref="S17"/>
    </sheetView>
  </sheetViews>
  <sheetFormatPr defaultRowHeight="15" x14ac:dyDescent="0.25"/>
  <cols>
    <col min="1" max="1" width="5.5703125" bestFit="1" customWidth="1"/>
    <col min="2" max="2" width="7.5703125" bestFit="1" customWidth="1"/>
    <col min="3" max="3" width="5.85546875" bestFit="1" customWidth="1"/>
    <col min="4" max="4" width="11.140625" bestFit="1" customWidth="1"/>
    <col min="5" max="5" width="11.5703125" bestFit="1" customWidth="1"/>
    <col min="6" max="6" width="6.85546875" customWidth="1"/>
    <col min="7" max="8" width="5.85546875" customWidth="1"/>
    <col min="9" max="10" width="7.28515625" customWidth="1"/>
    <col min="11" max="14" width="12" bestFit="1" customWidth="1"/>
    <col min="15" max="15" width="12.7109375" bestFit="1" customWidth="1"/>
    <col min="16" max="16" width="12" bestFit="1" customWidth="1"/>
  </cols>
  <sheetData>
    <row r="1" spans="1:21" x14ac:dyDescent="0.25">
      <c r="A1" t="s">
        <v>133</v>
      </c>
      <c r="B1" t="s">
        <v>134</v>
      </c>
      <c r="C1" t="s">
        <v>135</v>
      </c>
      <c r="D1" t="s">
        <v>181</v>
      </c>
      <c r="E1" t="s">
        <v>180</v>
      </c>
      <c r="F1" s="21" t="s">
        <v>182</v>
      </c>
      <c r="G1" s="1" t="s">
        <v>183</v>
      </c>
      <c r="H1" s="1" t="s">
        <v>143</v>
      </c>
      <c r="I1" s="33" t="s">
        <v>131</v>
      </c>
      <c r="J1" s="1" t="s">
        <v>139</v>
      </c>
      <c r="K1" s="1" t="s">
        <v>194</v>
      </c>
      <c r="L1" s="1" t="s">
        <v>195</v>
      </c>
      <c r="M1" s="1" t="s">
        <v>196</v>
      </c>
      <c r="N1" s="1" t="s">
        <v>189</v>
      </c>
      <c r="O1" s="1" t="s">
        <v>190</v>
      </c>
      <c r="P1" s="1" t="s">
        <v>188</v>
      </c>
      <c r="Q1" s="1" t="s">
        <v>187</v>
      </c>
      <c r="R1" s="1" t="s">
        <v>186</v>
      </c>
      <c r="S1" s="1" t="s">
        <v>193</v>
      </c>
      <c r="T1" s="1" t="s">
        <v>159</v>
      </c>
      <c r="U1" s="1" t="s">
        <v>160</v>
      </c>
    </row>
    <row r="2" spans="1:21" x14ac:dyDescent="0.25">
      <c r="A2" t="s">
        <v>138</v>
      </c>
      <c r="B2" t="s">
        <v>132</v>
      </c>
      <c r="C2" t="s">
        <v>144</v>
      </c>
      <c r="D2">
        <v>140</v>
      </c>
      <c r="E2">
        <v>4</v>
      </c>
      <c r="F2" s="22">
        <f t="shared" ref="F2:F15" si="0">IF(A2="2nd",1,0)</f>
        <v>0</v>
      </c>
      <c r="G2">
        <f t="shared" ref="G2:G15" si="1">IF(A2="3rd",1,0)</f>
        <v>0</v>
      </c>
      <c r="H2">
        <f t="shared" ref="H2:H15" si="2">IF(A2="Crew",1,0)</f>
        <v>0</v>
      </c>
      <c r="I2" s="8">
        <f t="shared" ref="I2:I15" si="3">IF(B2="Female",0,1)</f>
        <v>0</v>
      </c>
      <c r="J2">
        <f t="shared" ref="J2:J15" si="4">IF(C2="Adult",0,1)</f>
        <v>0</v>
      </c>
      <c r="K2">
        <f t="shared" ref="K2:K15" si="5">I2*F2</f>
        <v>0</v>
      </c>
      <c r="L2">
        <f t="shared" ref="L2:L15" si="6">I2*G2</f>
        <v>0</v>
      </c>
      <c r="M2">
        <f t="shared" ref="M2:M15" si="7">I2*H2</f>
        <v>0</v>
      </c>
      <c r="N2">
        <f t="shared" ref="N2:N15" si="8">F2*J2</f>
        <v>0</v>
      </c>
      <c r="O2">
        <f t="shared" ref="O2:O15" si="9">G2*J2</f>
        <v>0</v>
      </c>
      <c r="P2">
        <f t="shared" ref="P2:P15" si="10">I2*J2</f>
        <v>0</v>
      </c>
      <c r="Q2">
        <f>E$16+I$16*I2+F$16*F2+G$16*G2+H$16*H2+J$16*J2+K$16*K2+L$16*L2+M$16*M2+P$16*P2+N$16*N2+O$16*O2</f>
        <v>3.5560422062981685</v>
      </c>
      <c r="R2">
        <f>EXP(Q2)/(1+EXP(Q2))</f>
        <v>0.97224096227333801</v>
      </c>
      <c r="S2">
        <f t="shared" ref="S2:S15" si="11">LN(_xlfn.BINOM.DIST(D2,D2+E2,R2,FALSE))</f>
        <v>-1.6188084183951339</v>
      </c>
      <c r="T2">
        <f t="shared" ref="T2:T15" si="12">LN(_xlfn.BINOM.DIST(D2,D2+E2,E$18,FALSE))</f>
        <v>-42.69229275525808</v>
      </c>
      <c r="U2">
        <f t="shared" ref="U2:U15" si="13">LN(_xlfn.BINOM.DIST(D2,D2+E2,D2/(D2+E2),FALSE))</f>
        <v>-1.6188074816945335</v>
      </c>
    </row>
    <row r="3" spans="1:21" x14ac:dyDescent="0.25">
      <c r="A3" t="s">
        <v>138</v>
      </c>
      <c r="B3" t="s">
        <v>132</v>
      </c>
      <c r="C3" t="s">
        <v>139</v>
      </c>
      <c r="D3">
        <v>1</v>
      </c>
      <c r="E3">
        <v>0</v>
      </c>
      <c r="F3" s="22">
        <f t="shared" si="0"/>
        <v>0</v>
      </c>
      <c r="G3">
        <f t="shared" si="1"/>
        <v>0</v>
      </c>
      <c r="H3">
        <f t="shared" si="2"/>
        <v>0</v>
      </c>
      <c r="I3" s="8">
        <f t="shared" si="3"/>
        <v>0</v>
      </c>
      <c r="J3">
        <f t="shared" si="4"/>
        <v>1</v>
      </c>
      <c r="K3">
        <f t="shared" si="5"/>
        <v>0</v>
      </c>
      <c r="L3">
        <f t="shared" si="6"/>
        <v>0</v>
      </c>
      <c r="M3">
        <f t="shared" si="7"/>
        <v>0</v>
      </c>
      <c r="N3">
        <f t="shared" si="8"/>
        <v>0</v>
      </c>
      <c r="O3">
        <f t="shared" si="9"/>
        <v>0</v>
      </c>
      <c r="P3">
        <f t="shared" si="10"/>
        <v>0</v>
      </c>
      <c r="Q3">
        <f t="shared" ref="Q3:Q15" si="14">E$16+I$16*I3+F$16*F3+G$16*G3+H$16*H3+J$16*J3+K$16*K3+L$16*L3+M$16*M3+P$16*P3+N$16*N3+O$16*O3</f>
        <v>14.232982417696139</v>
      </c>
      <c r="R3">
        <f t="shared" ref="R3:R14" si="15">EXP(Q3)/(1+EXP(Q3))</f>
        <v>0.99999934129040602</v>
      </c>
      <c r="S3">
        <f t="shared" si="11"/>
        <v>-6.5870981093065908E-7</v>
      </c>
      <c r="T3">
        <f t="shared" si="12"/>
        <v>-0.39175002726650071</v>
      </c>
      <c r="U3">
        <f t="shared" si="13"/>
        <v>0</v>
      </c>
    </row>
    <row r="4" spans="1:21" x14ac:dyDescent="0.25">
      <c r="A4" s="6" t="s">
        <v>138</v>
      </c>
      <c r="B4" s="6" t="s">
        <v>131</v>
      </c>
      <c r="C4" s="6" t="s">
        <v>144</v>
      </c>
      <c r="D4" s="6">
        <v>57</v>
      </c>
      <c r="E4" s="6">
        <v>118</v>
      </c>
      <c r="F4" s="26">
        <f t="shared" si="0"/>
        <v>0</v>
      </c>
      <c r="G4" s="6">
        <f t="shared" si="1"/>
        <v>0</v>
      </c>
      <c r="H4" s="6">
        <f t="shared" si="2"/>
        <v>0</v>
      </c>
      <c r="I4" s="34">
        <f t="shared" si="3"/>
        <v>1</v>
      </c>
      <c r="J4" s="6">
        <f t="shared" si="4"/>
        <v>0</v>
      </c>
      <c r="K4" s="6">
        <f t="shared" si="5"/>
        <v>0</v>
      </c>
      <c r="L4" s="6">
        <f t="shared" si="6"/>
        <v>0</v>
      </c>
      <c r="M4" s="6">
        <f t="shared" si="7"/>
        <v>0</v>
      </c>
      <c r="N4" s="6">
        <f t="shared" si="8"/>
        <v>0</v>
      </c>
      <c r="O4" s="6">
        <f t="shared" si="9"/>
        <v>0</v>
      </c>
      <c r="P4" s="6">
        <f t="shared" si="10"/>
        <v>0</v>
      </c>
      <c r="Q4">
        <f t="shared" si="14"/>
        <v>-0.72771512785326564</v>
      </c>
      <c r="R4" s="6">
        <f t="shared" si="15"/>
        <v>0.32569632700729034</v>
      </c>
      <c r="S4">
        <f t="shared" si="11"/>
        <v>-2.7451056172346693</v>
      </c>
      <c r="T4">
        <f t="shared" si="12"/>
        <v>-47.573179129586499</v>
      </c>
      <c r="U4">
        <f t="shared" si="13"/>
        <v>-2.745105488739835</v>
      </c>
    </row>
    <row r="5" spans="1:21" x14ac:dyDescent="0.25">
      <c r="A5" t="s">
        <v>138</v>
      </c>
      <c r="B5" t="s">
        <v>131</v>
      </c>
      <c r="C5" t="s">
        <v>139</v>
      </c>
      <c r="D5">
        <v>5</v>
      </c>
      <c r="E5">
        <v>0</v>
      </c>
      <c r="F5" s="22">
        <f t="shared" si="0"/>
        <v>0</v>
      </c>
      <c r="G5">
        <f t="shared" si="1"/>
        <v>0</v>
      </c>
      <c r="H5">
        <f t="shared" si="2"/>
        <v>0</v>
      </c>
      <c r="I5" s="8">
        <f t="shared" si="3"/>
        <v>1</v>
      </c>
      <c r="J5">
        <f t="shared" si="4"/>
        <v>1</v>
      </c>
      <c r="K5">
        <f t="shared" si="5"/>
        <v>0</v>
      </c>
      <c r="L5">
        <f t="shared" si="6"/>
        <v>0</v>
      </c>
      <c r="M5">
        <f t="shared" si="7"/>
        <v>0</v>
      </c>
      <c r="N5">
        <f t="shared" si="8"/>
        <v>0</v>
      </c>
      <c r="O5">
        <f t="shared" si="9"/>
        <v>0</v>
      </c>
      <c r="P5">
        <f t="shared" si="10"/>
        <v>1</v>
      </c>
      <c r="Q5">
        <f t="shared" si="14"/>
        <v>10.636052057766312</v>
      </c>
      <c r="R5">
        <f t="shared" si="15"/>
        <v>0.99997596684184187</v>
      </c>
      <c r="S5">
        <f t="shared" si="11"/>
        <v>-1.2016723479555267E-4</v>
      </c>
      <c r="T5">
        <f t="shared" si="12"/>
        <v>-1.9587501363325035</v>
      </c>
      <c r="U5">
        <f t="shared" si="13"/>
        <v>0</v>
      </c>
    </row>
    <row r="6" spans="1:21" x14ac:dyDescent="0.25">
      <c r="A6" t="s">
        <v>141</v>
      </c>
      <c r="B6" t="s">
        <v>132</v>
      </c>
      <c r="C6" t="s">
        <v>144</v>
      </c>
      <c r="D6">
        <v>80</v>
      </c>
      <c r="E6">
        <v>13</v>
      </c>
      <c r="F6" s="22">
        <f t="shared" si="0"/>
        <v>1</v>
      </c>
      <c r="G6">
        <f t="shared" si="1"/>
        <v>0</v>
      </c>
      <c r="H6">
        <f t="shared" si="2"/>
        <v>0</v>
      </c>
      <c r="I6" s="8">
        <f t="shared" si="3"/>
        <v>0</v>
      </c>
      <c r="J6">
        <f t="shared" si="4"/>
        <v>0</v>
      </c>
      <c r="K6">
        <f t="shared" si="5"/>
        <v>0</v>
      </c>
      <c r="L6">
        <f t="shared" si="6"/>
        <v>0</v>
      </c>
      <c r="M6">
        <f t="shared" si="7"/>
        <v>0</v>
      </c>
      <c r="N6">
        <f t="shared" si="8"/>
        <v>0</v>
      </c>
      <c r="O6">
        <f t="shared" si="9"/>
        <v>0</v>
      </c>
      <c r="P6">
        <f t="shared" si="10"/>
        <v>0</v>
      </c>
      <c r="Q6">
        <f t="shared" si="14"/>
        <v>1.8168124966434638</v>
      </c>
      <c r="R6">
        <f t="shared" si="15"/>
        <v>0.86018321215667382</v>
      </c>
      <c r="S6">
        <f t="shared" si="11"/>
        <v>-2.132681776261788</v>
      </c>
      <c r="T6">
        <f t="shared" si="12"/>
        <v>-10.493463075808647</v>
      </c>
      <c r="U6">
        <f t="shared" si="13"/>
        <v>-2.1326813842309491</v>
      </c>
    </row>
    <row r="7" spans="1:21" x14ac:dyDescent="0.25">
      <c r="A7" t="s">
        <v>141</v>
      </c>
      <c r="B7" t="s">
        <v>132</v>
      </c>
      <c r="C7" t="s">
        <v>139</v>
      </c>
      <c r="D7">
        <v>13</v>
      </c>
      <c r="E7">
        <v>0</v>
      </c>
      <c r="F7" s="22">
        <f t="shared" si="0"/>
        <v>1</v>
      </c>
      <c r="G7">
        <f t="shared" si="1"/>
        <v>0</v>
      </c>
      <c r="H7">
        <f t="shared" si="2"/>
        <v>0</v>
      </c>
      <c r="I7" s="8">
        <f t="shared" si="3"/>
        <v>0</v>
      </c>
      <c r="J7">
        <f t="shared" si="4"/>
        <v>1</v>
      </c>
      <c r="K7">
        <f t="shared" si="5"/>
        <v>0</v>
      </c>
      <c r="L7">
        <f t="shared" si="6"/>
        <v>0</v>
      </c>
      <c r="M7">
        <f t="shared" si="7"/>
        <v>0</v>
      </c>
      <c r="N7">
        <f t="shared" si="8"/>
        <v>1</v>
      </c>
      <c r="O7">
        <f t="shared" si="9"/>
        <v>0</v>
      </c>
      <c r="P7">
        <f t="shared" si="10"/>
        <v>0</v>
      </c>
      <c r="Q7">
        <f t="shared" si="14"/>
        <v>19.05345833513455</v>
      </c>
      <c r="R7">
        <f t="shared" si="15"/>
        <v>0.9999999946888547</v>
      </c>
      <c r="S7">
        <f t="shared" si="11"/>
        <v>-6.9044889080498969E-8</v>
      </c>
      <c r="T7">
        <f t="shared" si="12"/>
        <v>-5.092750354464509</v>
      </c>
      <c r="U7">
        <f t="shared" si="13"/>
        <v>0</v>
      </c>
    </row>
    <row r="8" spans="1:21" x14ac:dyDescent="0.25">
      <c r="A8" s="31" t="s">
        <v>141</v>
      </c>
      <c r="B8" s="31" t="s">
        <v>131</v>
      </c>
      <c r="C8" s="31" t="s">
        <v>144</v>
      </c>
      <c r="D8" s="31">
        <v>14</v>
      </c>
      <c r="E8" s="31">
        <v>154</v>
      </c>
      <c r="F8" s="32">
        <f t="shared" si="0"/>
        <v>1</v>
      </c>
      <c r="G8" s="31">
        <f t="shared" si="1"/>
        <v>0</v>
      </c>
      <c r="H8" s="31">
        <f t="shared" si="2"/>
        <v>0</v>
      </c>
      <c r="I8" s="35">
        <f t="shared" si="3"/>
        <v>1</v>
      </c>
      <c r="J8" s="31">
        <f t="shared" si="4"/>
        <v>0</v>
      </c>
      <c r="K8" s="31">
        <f t="shared" si="5"/>
        <v>1</v>
      </c>
      <c r="L8" s="31">
        <f t="shared" si="6"/>
        <v>0</v>
      </c>
      <c r="M8" s="31">
        <f t="shared" si="7"/>
        <v>0</v>
      </c>
      <c r="N8" s="31">
        <f t="shared" si="8"/>
        <v>0</v>
      </c>
      <c r="O8" s="31">
        <f t="shared" si="9"/>
        <v>0</v>
      </c>
      <c r="P8" s="31">
        <f t="shared" si="10"/>
        <v>0</v>
      </c>
      <c r="Q8">
        <f t="shared" si="14"/>
        <v>-2.3976588901734024</v>
      </c>
      <c r="R8" s="31">
        <f t="shared" si="15"/>
        <v>8.3351392117982745E-2</v>
      </c>
      <c r="S8">
        <f t="shared" si="11"/>
        <v>-2.2009583318166004</v>
      </c>
      <c r="T8">
        <f t="shared" si="12"/>
        <v>-132.99649264003818</v>
      </c>
      <c r="U8">
        <f t="shared" si="13"/>
        <v>-2.2009579732506075</v>
      </c>
    </row>
    <row r="9" spans="1:21" x14ac:dyDescent="0.25">
      <c r="A9" t="s">
        <v>141</v>
      </c>
      <c r="B9" t="s">
        <v>131</v>
      </c>
      <c r="C9" t="s">
        <v>139</v>
      </c>
      <c r="D9">
        <v>11</v>
      </c>
      <c r="E9">
        <v>0</v>
      </c>
      <c r="F9" s="22">
        <f t="shared" si="0"/>
        <v>1</v>
      </c>
      <c r="G9">
        <f t="shared" si="1"/>
        <v>0</v>
      </c>
      <c r="H9">
        <f t="shared" si="2"/>
        <v>0</v>
      </c>
      <c r="I9" s="8">
        <f t="shared" si="3"/>
        <v>1</v>
      </c>
      <c r="J9">
        <f t="shared" si="4"/>
        <v>1</v>
      </c>
      <c r="K9">
        <f t="shared" si="5"/>
        <v>1</v>
      </c>
      <c r="L9">
        <f t="shared" si="6"/>
        <v>0</v>
      </c>
      <c r="M9">
        <f t="shared" si="7"/>
        <v>0</v>
      </c>
      <c r="N9">
        <f t="shared" si="8"/>
        <v>1</v>
      </c>
      <c r="O9">
        <f t="shared" si="9"/>
        <v>0</v>
      </c>
      <c r="P9">
        <f t="shared" si="10"/>
        <v>1</v>
      </c>
      <c r="Q9">
        <f t="shared" si="14"/>
        <v>15.525813922539294</v>
      </c>
      <c r="R9">
        <f t="shared" si="15"/>
        <v>0.99999981918910008</v>
      </c>
      <c r="S9">
        <f t="shared" si="11"/>
        <v>-1.9889200788926718E-6</v>
      </c>
      <c r="T9">
        <f t="shared" si="12"/>
        <v>-4.3092502999315077</v>
      </c>
      <c r="U9">
        <f t="shared" si="13"/>
        <v>0</v>
      </c>
    </row>
    <row r="10" spans="1:21" x14ac:dyDescent="0.25">
      <c r="A10" s="27" t="s">
        <v>142</v>
      </c>
      <c r="B10" s="27" t="s">
        <v>132</v>
      </c>
      <c r="C10" s="27" t="s">
        <v>144</v>
      </c>
      <c r="D10" s="27">
        <v>76</v>
      </c>
      <c r="E10" s="27">
        <v>89</v>
      </c>
      <c r="F10" s="28">
        <f t="shared" si="0"/>
        <v>0</v>
      </c>
      <c r="G10" s="27">
        <f t="shared" si="1"/>
        <v>1</v>
      </c>
      <c r="H10" s="27">
        <f t="shared" si="2"/>
        <v>0</v>
      </c>
      <c r="I10" s="36">
        <f t="shared" si="3"/>
        <v>0</v>
      </c>
      <c r="J10" s="27">
        <f t="shared" si="4"/>
        <v>0</v>
      </c>
      <c r="K10" s="27">
        <f t="shared" si="5"/>
        <v>0</v>
      </c>
      <c r="L10" s="27">
        <f t="shared" si="6"/>
        <v>0</v>
      </c>
      <c r="M10" s="27">
        <f t="shared" si="7"/>
        <v>0</v>
      </c>
      <c r="N10" s="27">
        <f t="shared" si="8"/>
        <v>0</v>
      </c>
      <c r="O10" s="27">
        <f t="shared" si="9"/>
        <v>0</v>
      </c>
      <c r="P10" s="27">
        <f t="shared" si="10"/>
        <v>0</v>
      </c>
      <c r="Q10">
        <f t="shared" si="14"/>
        <v>-0.15790992873439436</v>
      </c>
      <c r="R10" s="27">
        <f t="shared" si="15"/>
        <v>0.46060434649126503</v>
      </c>
      <c r="S10">
        <f t="shared" si="11"/>
        <v>-2.7771784129009851</v>
      </c>
      <c r="T10">
        <f t="shared" si="12"/>
        <v>-18.962727733997056</v>
      </c>
      <c r="U10">
        <f t="shared" si="13"/>
        <v>-2.7771784119253256</v>
      </c>
    </row>
    <row r="11" spans="1:21" x14ac:dyDescent="0.25">
      <c r="A11" s="27" t="s">
        <v>142</v>
      </c>
      <c r="B11" s="27" t="s">
        <v>132</v>
      </c>
      <c r="C11" s="27" t="s">
        <v>139</v>
      </c>
      <c r="D11" s="27">
        <v>14</v>
      </c>
      <c r="E11" s="27">
        <v>17</v>
      </c>
      <c r="F11" s="28">
        <f t="shared" si="0"/>
        <v>0</v>
      </c>
      <c r="G11" s="27">
        <f t="shared" si="1"/>
        <v>1</v>
      </c>
      <c r="H11" s="27">
        <f t="shared" si="2"/>
        <v>0</v>
      </c>
      <c r="I11" s="36">
        <f t="shared" si="3"/>
        <v>0</v>
      </c>
      <c r="J11" s="27">
        <f t="shared" si="4"/>
        <v>1</v>
      </c>
      <c r="K11" s="27">
        <f t="shared" si="5"/>
        <v>0</v>
      </c>
      <c r="L11" s="27">
        <f t="shared" si="6"/>
        <v>0</v>
      </c>
      <c r="M11" s="27">
        <f t="shared" si="7"/>
        <v>0</v>
      </c>
      <c r="N11" s="27">
        <f t="shared" si="8"/>
        <v>0</v>
      </c>
      <c r="O11" s="27">
        <f t="shared" si="9"/>
        <v>1</v>
      </c>
      <c r="P11" s="27">
        <f t="shared" si="10"/>
        <v>0</v>
      </c>
      <c r="Q11">
        <f t="shared" si="14"/>
        <v>-0.19418090269269861</v>
      </c>
      <c r="R11" s="27">
        <f t="shared" si="15"/>
        <v>0.45160673944143526</v>
      </c>
      <c r="S11">
        <f t="shared" si="11"/>
        <v>-1.9462449574082905</v>
      </c>
      <c r="T11">
        <f t="shared" si="12"/>
        <v>-5.2411113993065701</v>
      </c>
      <c r="U11">
        <f t="shared" si="13"/>
        <v>-1.9462449550304994</v>
      </c>
    </row>
    <row r="12" spans="1:21" x14ac:dyDescent="0.25">
      <c r="A12" s="6" t="s">
        <v>142</v>
      </c>
      <c r="B12" s="6" t="s">
        <v>131</v>
      </c>
      <c r="C12" s="6" t="s">
        <v>144</v>
      </c>
      <c r="D12" s="6">
        <v>75</v>
      </c>
      <c r="E12" s="6">
        <v>387</v>
      </c>
      <c r="F12" s="26">
        <f t="shared" si="0"/>
        <v>0</v>
      </c>
      <c r="G12" s="6">
        <f t="shared" si="1"/>
        <v>1</v>
      </c>
      <c r="H12" s="6">
        <f t="shared" si="2"/>
        <v>0</v>
      </c>
      <c r="I12" s="34">
        <f t="shared" si="3"/>
        <v>1</v>
      </c>
      <c r="J12" s="6">
        <f t="shared" si="4"/>
        <v>0</v>
      </c>
      <c r="K12" s="6">
        <f t="shared" si="5"/>
        <v>0</v>
      </c>
      <c r="L12" s="6">
        <f t="shared" si="6"/>
        <v>1</v>
      </c>
      <c r="M12" s="6">
        <f t="shared" si="7"/>
        <v>0</v>
      </c>
      <c r="N12" s="6">
        <f t="shared" si="8"/>
        <v>0</v>
      </c>
      <c r="O12" s="6">
        <f t="shared" si="9"/>
        <v>0</v>
      </c>
      <c r="P12" s="6">
        <f t="shared" si="10"/>
        <v>0</v>
      </c>
      <c r="Q12">
        <f t="shared" si="14"/>
        <v>-1.6409423919723349</v>
      </c>
      <c r="R12" s="6">
        <f t="shared" si="15"/>
        <v>0.16233687193424085</v>
      </c>
      <c r="S12">
        <f t="shared" si="11"/>
        <v>-2.9902585529457437</v>
      </c>
      <c r="T12">
        <f t="shared" si="12"/>
        <v>-263.46443422379406</v>
      </c>
      <c r="U12">
        <f t="shared" si="13"/>
        <v>-2.990258551884482</v>
      </c>
    </row>
    <row r="13" spans="1:21" x14ac:dyDescent="0.25">
      <c r="A13" s="29" t="s">
        <v>142</v>
      </c>
      <c r="B13" s="29" t="s">
        <v>131</v>
      </c>
      <c r="C13" s="29" t="s">
        <v>139</v>
      </c>
      <c r="D13" s="29">
        <v>13</v>
      </c>
      <c r="E13" s="29">
        <v>35</v>
      </c>
      <c r="F13" s="30">
        <f t="shared" si="0"/>
        <v>0</v>
      </c>
      <c r="G13" s="29">
        <f t="shared" si="1"/>
        <v>1</v>
      </c>
      <c r="H13" s="29">
        <f t="shared" si="2"/>
        <v>0</v>
      </c>
      <c r="I13" s="37">
        <f t="shared" si="3"/>
        <v>1</v>
      </c>
      <c r="J13" s="29">
        <f t="shared" si="4"/>
        <v>1</v>
      </c>
      <c r="K13" s="29">
        <f t="shared" si="5"/>
        <v>0</v>
      </c>
      <c r="L13" s="29">
        <f t="shared" si="6"/>
        <v>1</v>
      </c>
      <c r="M13" s="29">
        <f t="shared" si="7"/>
        <v>0</v>
      </c>
      <c r="N13" s="29">
        <f t="shared" si="8"/>
        <v>0</v>
      </c>
      <c r="O13" s="29">
        <f t="shared" si="9"/>
        <v>1</v>
      </c>
      <c r="P13" s="29">
        <f t="shared" si="10"/>
        <v>1</v>
      </c>
      <c r="Q13">
        <f t="shared" si="14"/>
        <v>-0.99038639170903231</v>
      </c>
      <c r="R13" s="29">
        <f t="shared" si="15"/>
        <v>0.27083576480941018</v>
      </c>
      <c r="S13">
        <f t="shared" si="11"/>
        <v>-2.0505405337440541</v>
      </c>
      <c r="T13">
        <f t="shared" si="12"/>
        <v>-18.538866035425208</v>
      </c>
      <c r="U13">
        <f t="shared" si="13"/>
        <v>-2.0505405330255639</v>
      </c>
    </row>
    <row r="14" spans="1:21" x14ac:dyDescent="0.25">
      <c r="A14" t="s">
        <v>143</v>
      </c>
      <c r="B14" t="s">
        <v>132</v>
      </c>
      <c r="C14" t="s">
        <v>144</v>
      </c>
      <c r="D14">
        <v>20</v>
      </c>
      <c r="E14">
        <v>3</v>
      </c>
      <c r="F14" s="22">
        <f t="shared" si="0"/>
        <v>0</v>
      </c>
      <c r="G14">
        <f t="shared" si="1"/>
        <v>0</v>
      </c>
      <c r="H14">
        <f t="shared" si="2"/>
        <v>1</v>
      </c>
      <c r="I14" s="8">
        <f t="shared" si="3"/>
        <v>0</v>
      </c>
      <c r="J14">
        <f t="shared" si="4"/>
        <v>0</v>
      </c>
      <c r="K14">
        <f t="shared" si="5"/>
        <v>0</v>
      </c>
      <c r="L14">
        <f t="shared" si="6"/>
        <v>0</v>
      </c>
      <c r="M14">
        <f t="shared" si="7"/>
        <v>0</v>
      </c>
      <c r="N14">
        <f t="shared" si="8"/>
        <v>0</v>
      </c>
      <c r="O14">
        <f t="shared" si="9"/>
        <v>0</v>
      </c>
      <c r="P14">
        <f t="shared" si="10"/>
        <v>0</v>
      </c>
      <c r="Q14">
        <f t="shared" si="14"/>
        <v>1.8973087913179059</v>
      </c>
      <c r="R14">
        <f t="shared" si="15"/>
        <v>0.8695866306152934</v>
      </c>
      <c r="S14">
        <f t="shared" si="11"/>
        <v>-1.4265850379985177</v>
      </c>
      <c r="T14">
        <f t="shared" si="12"/>
        <v>-3.7355608966087055</v>
      </c>
      <c r="U14">
        <f t="shared" si="13"/>
        <v>-1.4265849915034605</v>
      </c>
    </row>
    <row r="15" spans="1:21" ht="15.75" thickBot="1" x14ac:dyDescent="0.3">
      <c r="A15" s="29" t="s">
        <v>143</v>
      </c>
      <c r="B15" s="29" t="s">
        <v>131</v>
      </c>
      <c r="C15" s="29" t="s">
        <v>144</v>
      </c>
      <c r="D15" s="29">
        <v>192</v>
      </c>
      <c r="E15" s="29">
        <v>670</v>
      </c>
      <c r="F15" s="38">
        <f t="shared" si="0"/>
        <v>0</v>
      </c>
      <c r="G15" s="29">
        <f t="shared" si="1"/>
        <v>0</v>
      </c>
      <c r="H15" s="29">
        <f t="shared" si="2"/>
        <v>1</v>
      </c>
      <c r="I15" s="37">
        <f t="shared" si="3"/>
        <v>1</v>
      </c>
      <c r="J15" s="29">
        <f t="shared" si="4"/>
        <v>0</v>
      </c>
      <c r="K15" s="29">
        <f t="shared" si="5"/>
        <v>0</v>
      </c>
      <c r="L15" s="29">
        <f t="shared" si="6"/>
        <v>0</v>
      </c>
      <c r="M15" s="29">
        <f t="shared" si="7"/>
        <v>1</v>
      </c>
      <c r="N15" s="29">
        <f t="shared" si="8"/>
        <v>0</v>
      </c>
      <c r="O15" s="29">
        <f t="shared" si="9"/>
        <v>0</v>
      </c>
      <c r="P15" s="29">
        <f t="shared" si="10"/>
        <v>0</v>
      </c>
      <c r="Q15">
        <f t="shared" si="14"/>
        <v>-1.2497846645399557</v>
      </c>
      <c r="R15" s="29">
        <f>EXP(Q15)/(1+EXP(Q15))</f>
        <v>0.22273741665005956</v>
      </c>
      <c r="S15">
        <f t="shared" si="11"/>
        <v>-3.4221591715715491</v>
      </c>
      <c r="T15">
        <f t="shared" si="12"/>
        <v>-376.31069737859866</v>
      </c>
      <c r="U15">
        <f t="shared" si="13"/>
        <v>-3.4221591711684805</v>
      </c>
    </row>
    <row r="16" spans="1:21" ht="15.75" thickBot="1" x14ac:dyDescent="0.3">
      <c r="D16" s="20" t="s">
        <v>184</v>
      </c>
      <c r="E16" s="18">
        <v>3.5560422062981685</v>
      </c>
      <c r="F16" s="18">
        <v>-1.7392297096547047</v>
      </c>
      <c r="G16" s="18">
        <v>-3.7139521350325628</v>
      </c>
      <c r="H16" s="18">
        <v>-1.6587334149802626</v>
      </c>
      <c r="I16" s="18">
        <v>-4.2837573341514341</v>
      </c>
      <c r="J16" s="23">
        <v>10.676940211397971</v>
      </c>
      <c r="K16" s="24">
        <v>6.9285947334568138E-2</v>
      </c>
      <c r="L16" s="24">
        <v>2.8007248709134935</v>
      </c>
      <c r="M16" s="24">
        <v>1.1366638782935723</v>
      </c>
      <c r="N16" s="23">
        <v>6.559705627093118</v>
      </c>
      <c r="O16" s="23">
        <v>-10.713211185356275</v>
      </c>
      <c r="P16" s="25">
        <v>0.68682697422160599</v>
      </c>
      <c r="S16">
        <f>SUM(S2:S15)</f>
        <v>-23.310643694186908</v>
      </c>
      <c r="T16">
        <f>SUM(T2:T15)</f>
        <v>-931.76132608641683</v>
      </c>
      <c r="U16">
        <f>SUM(U2:U15)</f>
        <v>-23.310518942453736</v>
      </c>
    </row>
    <row r="17" spans="4:21" x14ac:dyDescent="0.25">
      <c r="D17" t="s">
        <v>185</v>
      </c>
      <c r="E17" t="s">
        <v>203</v>
      </c>
      <c r="R17" t="s">
        <v>171</v>
      </c>
      <c r="S17">
        <f>-2*S16+2*12</f>
        <v>70.621287388373815</v>
      </c>
      <c r="T17">
        <f t="shared" ref="T17:U17" si="16">-2*T16+2*14</f>
        <v>1891.5226521728337</v>
      </c>
      <c r="U17">
        <f t="shared" si="16"/>
        <v>74.62103788490748</v>
      </c>
    </row>
    <row r="18" spans="4:21" x14ac:dyDescent="0.25">
      <c r="D18" t="s">
        <v>191</v>
      </c>
      <c r="E18">
        <f>SUM(E2:E15)/SUM(D2:E16)</f>
        <v>0.67587304267793646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M24" sqref="M24"/>
    </sheetView>
  </sheetViews>
  <sheetFormatPr defaultRowHeight="15" x14ac:dyDescent="0.25"/>
  <cols>
    <col min="1" max="1" width="5.5703125" bestFit="1" customWidth="1"/>
    <col min="2" max="2" width="7.5703125" bestFit="1" customWidth="1"/>
    <col min="3" max="3" width="5.85546875" bestFit="1" customWidth="1"/>
    <col min="4" max="4" width="11.140625" bestFit="1" customWidth="1"/>
    <col min="5" max="5" width="11.5703125" bestFit="1" customWidth="1"/>
    <col min="6" max="6" width="6.85546875" customWidth="1"/>
    <col min="7" max="8" width="5.85546875" customWidth="1"/>
    <col min="9" max="10" width="7.28515625" customWidth="1"/>
    <col min="11" max="14" width="12" bestFit="1" customWidth="1"/>
    <col min="15" max="15" width="12.7109375" bestFit="1" customWidth="1"/>
    <col min="17" max="17" width="16.85546875" bestFit="1" customWidth="1"/>
  </cols>
  <sheetData>
    <row r="1" spans="1:20" x14ac:dyDescent="0.25">
      <c r="A1" t="s">
        <v>133</v>
      </c>
      <c r="B1" t="s">
        <v>134</v>
      </c>
      <c r="C1" t="s">
        <v>135</v>
      </c>
      <c r="D1" t="s">
        <v>181</v>
      </c>
      <c r="E1" t="s">
        <v>180</v>
      </c>
      <c r="F1" s="21" t="s">
        <v>182</v>
      </c>
      <c r="G1" s="1" t="s">
        <v>183</v>
      </c>
      <c r="H1" s="1" t="s">
        <v>143</v>
      </c>
      <c r="I1" s="33" t="s">
        <v>131</v>
      </c>
      <c r="J1" s="1" t="s">
        <v>139</v>
      </c>
      <c r="K1" s="1" t="s">
        <v>194</v>
      </c>
      <c r="L1" s="1" t="s">
        <v>195</v>
      </c>
      <c r="M1" s="1" t="s">
        <v>196</v>
      </c>
      <c r="N1" s="1" t="s">
        <v>189</v>
      </c>
      <c r="O1" s="1" t="s">
        <v>190</v>
      </c>
      <c r="P1" s="1" t="s">
        <v>187</v>
      </c>
      <c r="Q1" s="1" t="s">
        <v>186</v>
      </c>
      <c r="R1" s="1" t="s">
        <v>193</v>
      </c>
      <c r="S1" s="1" t="s">
        <v>159</v>
      </c>
      <c r="T1" s="1" t="s">
        <v>160</v>
      </c>
    </row>
    <row r="2" spans="1:20" x14ac:dyDescent="0.25">
      <c r="A2" t="s">
        <v>138</v>
      </c>
      <c r="B2" t="s">
        <v>132</v>
      </c>
      <c r="C2" t="s">
        <v>144</v>
      </c>
      <c r="D2">
        <v>140</v>
      </c>
      <c r="E2">
        <v>4</v>
      </c>
      <c r="F2" s="22">
        <f t="shared" ref="F2:F15" si="0">IF(A2="2nd",1,0)</f>
        <v>0</v>
      </c>
      <c r="G2">
        <f t="shared" ref="G2:G15" si="1">IF(A2="3rd",1,0)</f>
        <v>0</v>
      </c>
      <c r="H2">
        <f t="shared" ref="H2:H15" si="2">IF(A2="Crew",1,0)</f>
        <v>0</v>
      </c>
      <c r="I2" s="8">
        <f t="shared" ref="I2:I15" si="3">IF(B2="Female",0,1)</f>
        <v>0</v>
      </c>
      <c r="J2">
        <f t="shared" ref="J2:J15" si="4">IF(C2="Adult",0,1)</f>
        <v>0</v>
      </c>
      <c r="K2">
        <f t="shared" ref="K2:K15" si="5">I2*F2</f>
        <v>0</v>
      </c>
      <c r="L2">
        <f t="shared" ref="L2:L15" si="6">I2*G2</f>
        <v>0</v>
      </c>
      <c r="M2">
        <f t="shared" ref="M2:M15" si="7">I2*H2</f>
        <v>0</v>
      </c>
      <c r="N2">
        <f t="shared" ref="N2:N15" si="8">F2*J2</f>
        <v>0</v>
      </c>
      <c r="O2">
        <f t="shared" ref="O2:O15" si="9">G2*J2</f>
        <v>0</v>
      </c>
      <c r="P2">
        <f>E$16+I$16*I2+F$16*F2+G$16*G2+H$16*H2+J$16*J2+K$16*K2+L$16*L2+M$16*M2+N$16*N2+O$16*O2</f>
        <v>3.5554308480267856</v>
      </c>
      <c r="Q2">
        <f>EXP(P2)/(1+EXP(P2))</f>
        <v>0.9722244578823579</v>
      </c>
      <c r="R2">
        <f t="shared" ref="R2:R15" si="10">LN(_xlfn.BINOM.DIST(D2,D2+E2,Q2,FALSE))</f>
        <v>-1.6188074950206515</v>
      </c>
      <c r="S2">
        <f t="shared" ref="S2:S15" si="11">LN(_xlfn.BINOM.DIST(D2,D2+E2,E$18,FALSE))</f>
        <v>-42.692256244086728</v>
      </c>
      <c r="T2">
        <f t="shared" ref="T2:T15" si="12">LN(_xlfn.BINOM.DIST(D2,D2+E2,D2/(D2+E2),FALSE))</f>
        <v>-1.6188074816945335</v>
      </c>
    </row>
    <row r="3" spans="1:20" x14ac:dyDescent="0.25">
      <c r="A3" t="s">
        <v>138</v>
      </c>
      <c r="B3" t="s">
        <v>132</v>
      </c>
      <c r="C3" t="s">
        <v>139</v>
      </c>
      <c r="D3">
        <v>1</v>
      </c>
      <c r="E3">
        <v>0</v>
      </c>
      <c r="F3" s="22">
        <f t="shared" si="0"/>
        <v>0</v>
      </c>
      <c r="G3">
        <f t="shared" si="1"/>
        <v>0</v>
      </c>
      <c r="H3">
        <f t="shared" si="2"/>
        <v>0</v>
      </c>
      <c r="I3" s="8">
        <f t="shared" si="3"/>
        <v>0</v>
      </c>
      <c r="J3">
        <f t="shared" si="4"/>
        <v>1</v>
      </c>
      <c r="K3">
        <f t="shared" si="5"/>
        <v>0</v>
      </c>
      <c r="L3">
        <f t="shared" si="6"/>
        <v>0</v>
      </c>
      <c r="M3">
        <f t="shared" si="7"/>
        <v>0</v>
      </c>
      <c r="N3">
        <f t="shared" si="8"/>
        <v>0</v>
      </c>
      <c r="O3">
        <f t="shared" si="9"/>
        <v>0</v>
      </c>
      <c r="P3">
        <f t="shared" ref="P3:P15" si="13">E$16+I$16*I3+F$16*F3+G$16*G3+H$16*H3+J$16*J3+K$16*K3+L$16*L3+M$16*M3+N$16*N3+O$16*O3</f>
        <v>17.789977390184184</v>
      </c>
      <c r="Q3">
        <f t="shared" ref="Q3:Q14" si="14">EXP(P3)/(1+EXP(P3))</f>
        <v>0.99999998121068367</v>
      </c>
      <c r="R3">
        <f t="shared" si="10"/>
        <v>-1.878931650155998E-8</v>
      </c>
      <c r="S3">
        <f t="shared" si="11"/>
        <v>-0.39174974995064016</v>
      </c>
      <c r="T3">
        <f t="shared" si="12"/>
        <v>0</v>
      </c>
    </row>
    <row r="4" spans="1:20" x14ac:dyDescent="0.25">
      <c r="A4" s="6" t="s">
        <v>138</v>
      </c>
      <c r="B4" s="6" t="s">
        <v>131</v>
      </c>
      <c r="C4" s="6" t="s">
        <v>144</v>
      </c>
      <c r="D4" s="6">
        <v>57</v>
      </c>
      <c r="E4" s="6">
        <v>118</v>
      </c>
      <c r="F4" s="26">
        <f t="shared" si="0"/>
        <v>0</v>
      </c>
      <c r="G4" s="6">
        <f t="shared" si="1"/>
        <v>0</v>
      </c>
      <c r="H4" s="6">
        <f t="shared" si="2"/>
        <v>0</v>
      </c>
      <c r="I4" s="34">
        <f t="shared" si="3"/>
        <v>1</v>
      </c>
      <c r="J4" s="6">
        <f t="shared" si="4"/>
        <v>0</v>
      </c>
      <c r="K4" s="6">
        <f t="shared" si="5"/>
        <v>0</v>
      </c>
      <c r="L4" s="6">
        <f t="shared" si="6"/>
        <v>0</v>
      </c>
      <c r="M4" s="6">
        <f t="shared" si="7"/>
        <v>0</v>
      </c>
      <c r="N4" s="6">
        <f t="shared" si="8"/>
        <v>0</v>
      </c>
      <c r="O4" s="6">
        <f t="shared" si="9"/>
        <v>0</v>
      </c>
      <c r="P4">
        <f t="shared" si="13"/>
        <v>-0.72764262916026956</v>
      </c>
      <c r="Q4" s="6">
        <f t="shared" si="14"/>
        <v>0.32571224924309206</v>
      </c>
      <c r="R4">
        <f t="shared" si="10"/>
        <v>-2.745105490392119</v>
      </c>
      <c r="S4">
        <f t="shared" si="11"/>
        <v>-47.573231557531948</v>
      </c>
      <c r="T4">
        <f t="shared" si="12"/>
        <v>-2.745105488739835</v>
      </c>
    </row>
    <row r="5" spans="1:20" x14ac:dyDescent="0.25">
      <c r="A5" t="s">
        <v>138</v>
      </c>
      <c r="B5" t="s">
        <v>131</v>
      </c>
      <c r="C5" t="s">
        <v>139</v>
      </c>
      <c r="D5">
        <v>5</v>
      </c>
      <c r="E5">
        <v>0</v>
      </c>
      <c r="F5" s="22">
        <f t="shared" si="0"/>
        <v>0</v>
      </c>
      <c r="G5">
        <f t="shared" si="1"/>
        <v>0</v>
      </c>
      <c r="H5">
        <f t="shared" si="2"/>
        <v>0</v>
      </c>
      <c r="I5" s="8">
        <f t="shared" si="3"/>
        <v>1</v>
      </c>
      <c r="J5">
        <f t="shared" si="4"/>
        <v>1</v>
      </c>
      <c r="K5">
        <f t="shared" si="5"/>
        <v>0</v>
      </c>
      <c r="L5">
        <f t="shared" si="6"/>
        <v>0</v>
      </c>
      <c r="M5">
        <f t="shared" si="7"/>
        <v>0</v>
      </c>
      <c r="N5">
        <f t="shared" si="8"/>
        <v>0</v>
      </c>
      <c r="O5">
        <f t="shared" si="9"/>
        <v>0</v>
      </c>
      <c r="P5">
        <f t="shared" si="13"/>
        <v>13.506903912997128</v>
      </c>
      <c r="Q5">
        <f t="shared" si="14"/>
        <v>0.99999863847515202</v>
      </c>
      <c r="R5">
        <f t="shared" si="10"/>
        <v>-6.8076288742275708E-6</v>
      </c>
      <c r="S5">
        <f t="shared" si="11"/>
        <v>-1.9587487497532008</v>
      </c>
      <c r="T5">
        <f t="shared" si="12"/>
        <v>0</v>
      </c>
    </row>
    <row r="6" spans="1:20" x14ac:dyDescent="0.25">
      <c r="A6" t="s">
        <v>141</v>
      </c>
      <c r="B6" t="s">
        <v>132</v>
      </c>
      <c r="C6" t="s">
        <v>144</v>
      </c>
      <c r="D6">
        <v>80</v>
      </c>
      <c r="E6">
        <v>13</v>
      </c>
      <c r="F6" s="22">
        <f t="shared" si="0"/>
        <v>1</v>
      </c>
      <c r="G6">
        <f t="shared" si="1"/>
        <v>0</v>
      </c>
      <c r="H6">
        <f t="shared" si="2"/>
        <v>0</v>
      </c>
      <c r="I6" s="8">
        <f t="shared" si="3"/>
        <v>0</v>
      </c>
      <c r="J6">
        <f t="shared" si="4"/>
        <v>0</v>
      </c>
      <c r="K6">
        <f t="shared" si="5"/>
        <v>0</v>
      </c>
      <c r="L6">
        <f t="shared" si="6"/>
        <v>0</v>
      </c>
      <c r="M6">
        <f t="shared" si="7"/>
        <v>0</v>
      </c>
      <c r="N6">
        <f t="shared" si="8"/>
        <v>0</v>
      </c>
      <c r="O6">
        <f t="shared" si="9"/>
        <v>0</v>
      </c>
      <c r="P6">
        <f t="shared" si="13"/>
        <v>1.8170731379127858</v>
      </c>
      <c r="Q6">
        <f t="shared" si="14"/>
        <v>0.86021455603214703</v>
      </c>
      <c r="R6">
        <f t="shared" si="10"/>
        <v>-2.1326813843267511</v>
      </c>
      <c r="S6">
        <f t="shared" si="11"/>
        <v>-10.49344840794949</v>
      </c>
      <c r="T6">
        <f t="shared" si="12"/>
        <v>-2.1326813842309491</v>
      </c>
    </row>
    <row r="7" spans="1:20" x14ac:dyDescent="0.25">
      <c r="A7" t="s">
        <v>141</v>
      </c>
      <c r="B7" t="s">
        <v>132</v>
      </c>
      <c r="C7" t="s">
        <v>139</v>
      </c>
      <c r="D7">
        <v>13</v>
      </c>
      <c r="E7">
        <v>0</v>
      </c>
      <c r="F7" s="22">
        <f t="shared" si="0"/>
        <v>1</v>
      </c>
      <c r="G7">
        <f t="shared" si="1"/>
        <v>0</v>
      </c>
      <c r="H7">
        <f t="shared" si="2"/>
        <v>0</v>
      </c>
      <c r="I7" s="8">
        <f t="shared" si="3"/>
        <v>0</v>
      </c>
      <c r="J7">
        <f t="shared" si="4"/>
        <v>1</v>
      </c>
      <c r="K7">
        <f t="shared" si="5"/>
        <v>0</v>
      </c>
      <c r="L7">
        <f t="shared" si="6"/>
        <v>0</v>
      </c>
      <c r="M7">
        <f t="shared" si="7"/>
        <v>0</v>
      </c>
      <c r="N7">
        <f t="shared" si="8"/>
        <v>1</v>
      </c>
      <c r="O7">
        <f t="shared" si="9"/>
        <v>0</v>
      </c>
      <c r="P7">
        <f t="shared" si="13"/>
        <v>22.654018269125459</v>
      </c>
      <c r="Q7">
        <f t="shared" si="14"/>
        <v>0.99999999985496102</v>
      </c>
      <c r="R7">
        <f t="shared" si="10"/>
        <v>-1.8855067525093035E-9</v>
      </c>
      <c r="S7">
        <f t="shared" si="11"/>
        <v>-5.0927467493583221</v>
      </c>
      <c r="T7">
        <f t="shared" si="12"/>
        <v>0</v>
      </c>
    </row>
    <row r="8" spans="1:20" x14ac:dyDescent="0.25">
      <c r="A8" s="31" t="s">
        <v>141</v>
      </c>
      <c r="B8" s="31" t="s">
        <v>131</v>
      </c>
      <c r="C8" s="31" t="s">
        <v>144</v>
      </c>
      <c r="D8" s="31">
        <v>14</v>
      </c>
      <c r="E8" s="31">
        <v>154</v>
      </c>
      <c r="F8" s="32">
        <f t="shared" si="0"/>
        <v>1</v>
      </c>
      <c r="G8" s="31">
        <f t="shared" si="1"/>
        <v>0</v>
      </c>
      <c r="H8" s="31">
        <f t="shared" si="2"/>
        <v>0</v>
      </c>
      <c r="I8" s="35">
        <f t="shared" si="3"/>
        <v>1</v>
      </c>
      <c r="J8" s="31">
        <f t="shared" si="4"/>
        <v>0</v>
      </c>
      <c r="K8" s="31">
        <f t="shared" si="5"/>
        <v>1</v>
      </c>
      <c r="L8" s="31">
        <f t="shared" si="6"/>
        <v>0</v>
      </c>
      <c r="M8" s="31">
        <f t="shared" si="7"/>
        <v>0</v>
      </c>
      <c r="N8" s="31">
        <f t="shared" si="8"/>
        <v>0</v>
      </c>
      <c r="O8" s="31">
        <f t="shared" si="9"/>
        <v>0</v>
      </c>
      <c r="P8">
        <f t="shared" si="13"/>
        <v>-2.3979047028656981</v>
      </c>
      <c r="Q8" s="31">
        <f t="shared" si="14"/>
        <v>8.3332612983798432E-2</v>
      </c>
      <c r="R8">
        <f t="shared" si="10"/>
        <v>-2.2009579738212155</v>
      </c>
      <c r="S8">
        <f t="shared" si="11"/>
        <v>-132.99657781000786</v>
      </c>
      <c r="T8">
        <f t="shared" si="12"/>
        <v>-2.2009579732506075</v>
      </c>
    </row>
    <row r="9" spans="1:20" x14ac:dyDescent="0.25">
      <c r="A9" t="s">
        <v>141</v>
      </c>
      <c r="B9" t="s">
        <v>131</v>
      </c>
      <c r="C9" t="s">
        <v>139</v>
      </c>
      <c r="D9">
        <v>11</v>
      </c>
      <c r="E9">
        <v>0</v>
      </c>
      <c r="F9" s="22">
        <f t="shared" si="0"/>
        <v>1</v>
      </c>
      <c r="G9">
        <f t="shared" si="1"/>
        <v>0</v>
      </c>
      <c r="H9">
        <f t="shared" si="2"/>
        <v>0</v>
      </c>
      <c r="I9" s="8">
        <f t="shared" si="3"/>
        <v>1</v>
      </c>
      <c r="J9">
        <f t="shared" si="4"/>
        <v>1</v>
      </c>
      <c r="K9">
        <f t="shared" si="5"/>
        <v>1</v>
      </c>
      <c r="L9">
        <f t="shared" si="6"/>
        <v>0</v>
      </c>
      <c r="M9">
        <f t="shared" si="7"/>
        <v>0</v>
      </c>
      <c r="N9">
        <f t="shared" si="8"/>
        <v>1</v>
      </c>
      <c r="O9">
        <f t="shared" si="9"/>
        <v>0</v>
      </c>
      <c r="P9">
        <f t="shared" si="13"/>
        <v>18.439040428346978</v>
      </c>
      <c r="Q9">
        <f t="shared" si="14"/>
        <v>0.99999999018192187</v>
      </c>
      <c r="R9">
        <f t="shared" si="10"/>
        <v>-1.0799885991384651E-7</v>
      </c>
      <c r="S9">
        <f t="shared" si="11"/>
        <v>-4.3092472494570417</v>
      </c>
      <c r="T9">
        <f t="shared" si="12"/>
        <v>0</v>
      </c>
    </row>
    <row r="10" spans="1:20" x14ac:dyDescent="0.25">
      <c r="A10" s="27" t="s">
        <v>142</v>
      </c>
      <c r="B10" s="27" t="s">
        <v>132</v>
      </c>
      <c r="C10" s="27" t="s">
        <v>144</v>
      </c>
      <c r="D10" s="27">
        <v>76</v>
      </c>
      <c r="E10" s="27">
        <v>89</v>
      </c>
      <c r="F10" s="28">
        <f t="shared" si="0"/>
        <v>0</v>
      </c>
      <c r="G10" s="27">
        <f t="shared" si="1"/>
        <v>1</v>
      </c>
      <c r="H10" s="27">
        <f t="shared" si="2"/>
        <v>0</v>
      </c>
      <c r="I10" s="36">
        <f t="shared" si="3"/>
        <v>0</v>
      </c>
      <c r="J10" s="27">
        <f t="shared" si="4"/>
        <v>0</v>
      </c>
      <c r="K10" s="27">
        <f t="shared" si="5"/>
        <v>0</v>
      </c>
      <c r="L10" s="27">
        <f t="shared" si="6"/>
        <v>0</v>
      </c>
      <c r="M10" s="27">
        <f t="shared" si="7"/>
        <v>0</v>
      </c>
      <c r="N10" s="27">
        <f t="shared" si="8"/>
        <v>0</v>
      </c>
      <c r="O10" s="27">
        <f t="shared" si="9"/>
        <v>0</v>
      </c>
      <c r="P10">
        <f t="shared" si="13"/>
        <v>-0.21740731301455041</v>
      </c>
      <c r="Q10" s="27">
        <f t="shared" si="14"/>
        <v>0.44586124720180992</v>
      </c>
      <c r="R10">
        <f t="shared" si="10"/>
        <v>-2.8496293764542475</v>
      </c>
      <c r="S10">
        <f t="shared" si="11"/>
        <v>-18.962758123334929</v>
      </c>
      <c r="T10">
        <f t="shared" si="12"/>
        <v>-2.7771784119253256</v>
      </c>
    </row>
    <row r="11" spans="1:20" x14ac:dyDescent="0.25">
      <c r="A11" s="27" t="s">
        <v>142</v>
      </c>
      <c r="B11" s="27" t="s">
        <v>132</v>
      </c>
      <c r="C11" s="27" t="s">
        <v>139</v>
      </c>
      <c r="D11" s="27">
        <v>14</v>
      </c>
      <c r="E11" s="27">
        <v>17</v>
      </c>
      <c r="F11" s="28">
        <f t="shared" si="0"/>
        <v>0</v>
      </c>
      <c r="G11" s="27">
        <f t="shared" si="1"/>
        <v>1</v>
      </c>
      <c r="H11" s="27">
        <f t="shared" si="2"/>
        <v>0</v>
      </c>
      <c r="I11" s="36">
        <f t="shared" si="3"/>
        <v>0</v>
      </c>
      <c r="J11" s="27">
        <f t="shared" si="4"/>
        <v>1</v>
      </c>
      <c r="K11" s="27">
        <f t="shared" si="5"/>
        <v>0</v>
      </c>
      <c r="L11" s="27">
        <f t="shared" si="6"/>
        <v>0</v>
      </c>
      <c r="M11" s="27">
        <f t="shared" si="7"/>
        <v>0</v>
      </c>
      <c r="N11" s="27">
        <f t="shared" si="8"/>
        <v>0</v>
      </c>
      <c r="O11" s="27">
        <f t="shared" si="9"/>
        <v>1</v>
      </c>
      <c r="P11">
        <f t="shared" si="13"/>
        <v>0.12050002602663312</v>
      </c>
      <c r="Q11" s="27">
        <f t="shared" si="14"/>
        <v>0.53008860745687414</v>
      </c>
      <c r="R11">
        <f t="shared" si="10"/>
        <v>-2.3286157004040384</v>
      </c>
      <c r="S11">
        <f t="shared" si="11"/>
        <v>-5.2411173473433506</v>
      </c>
      <c r="T11">
        <f t="shared" si="12"/>
        <v>-1.9462449550304994</v>
      </c>
    </row>
    <row r="12" spans="1:20" x14ac:dyDescent="0.25">
      <c r="A12" s="6" t="s">
        <v>142</v>
      </c>
      <c r="B12" s="6" t="s">
        <v>131</v>
      </c>
      <c r="C12" s="6" t="s">
        <v>144</v>
      </c>
      <c r="D12" s="6">
        <v>75</v>
      </c>
      <c r="E12" s="6">
        <v>387</v>
      </c>
      <c r="F12" s="26">
        <f t="shared" si="0"/>
        <v>0</v>
      </c>
      <c r="G12" s="6">
        <f t="shared" si="1"/>
        <v>1</v>
      </c>
      <c r="H12" s="6">
        <f t="shared" si="2"/>
        <v>0</v>
      </c>
      <c r="I12" s="34">
        <f t="shared" si="3"/>
        <v>1</v>
      </c>
      <c r="J12" s="6">
        <f t="shared" si="4"/>
        <v>0</v>
      </c>
      <c r="K12" s="6">
        <f t="shared" si="5"/>
        <v>0</v>
      </c>
      <c r="L12" s="6">
        <f t="shared" si="6"/>
        <v>1</v>
      </c>
      <c r="M12" s="6">
        <f t="shared" si="7"/>
        <v>0</v>
      </c>
      <c r="N12" s="6">
        <f t="shared" si="8"/>
        <v>0</v>
      </c>
      <c r="O12" s="6">
        <f t="shared" si="9"/>
        <v>0</v>
      </c>
      <c r="P12">
        <f t="shared" si="13"/>
        <v>-1.6027100932316216</v>
      </c>
      <c r="Q12" s="6">
        <f t="shared" si="14"/>
        <v>0.16760318270470484</v>
      </c>
      <c r="R12">
        <f t="shared" si="10"/>
        <v>-3.0365562773012256</v>
      </c>
      <c r="S12">
        <f t="shared" si="11"/>
        <v>-263.46463721260847</v>
      </c>
      <c r="T12">
        <f t="shared" si="12"/>
        <v>-2.990258551884482</v>
      </c>
    </row>
    <row r="13" spans="1:20" x14ac:dyDescent="0.25">
      <c r="A13" s="29" t="s">
        <v>142</v>
      </c>
      <c r="B13" s="29" t="s">
        <v>131</v>
      </c>
      <c r="C13" s="29" t="s">
        <v>139</v>
      </c>
      <c r="D13" s="29">
        <v>13</v>
      </c>
      <c r="E13" s="29">
        <v>35</v>
      </c>
      <c r="F13" s="30">
        <f t="shared" si="0"/>
        <v>0</v>
      </c>
      <c r="G13" s="29">
        <f t="shared" si="1"/>
        <v>1</v>
      </c>
      <c r="H13" s="29">
        <f t="shared" si="2"/>
        <v>0</v>
      </c>
      <c r="I13" s="37">
        <f t="shared" si="3"/>
        <v>1</v>
      </c>
      <c r="J13" s="29">
        <f t="shared" si="4"/>
        <v>1</v>
      </c>
      <c r="K13" s="29">
        <f t="shared" si="5"/>
        <v>0</v>
      </c>
      <c r="L13" s="29">
        <f t="shared" si="6"/>
        <v>1</v>
      </c>
      <c r="M13" s="29">
        <f t="shared" si="7"/>
        <v>0</v>
      </c>
      <c r="N13" s="29">
        <f t="shared" si="8"/>
        <v>0</v>
      </c>
      <c r="O13" s="29">
        <f t="shared" si="9"/>
        <v>1</v>
      </c>
      <c r="P13">
        <f t="shared" si="13"/>
        <v>-1.2648027541904376</v>
      </c>
      <c r="Q13" s="29">
        <f t="shared" si="14"/>
        <v>0.2201482328800454</v>
      </c>
      <c r="R13">
        <f t="shared" si="10"/>
        <v>-2.3921197496616555</v>
      </c>
      <c r="S13">
        <f t="shared" si="11"/>
        <v>-18.538882669498957</v>
      </c>
      <c r="T13">
        <f t="shared" si="12"/>
        <v>-2.0505405330255639</v>
      </c>
    </row>
    <row r="14" spans="1:20" x14ac:dyDescent="0.25">
      <c r="A14" t="s">
        <v>143</v>
      </c>
      <c r="B14" t="s">
        <v>132</v>
      </c>
      <c r="C14" t="s">
        <v>144</v>
      </c>
      <c r="D14">
        <v>20</v>
      </c>
      <c r="E14">
        <v>3</v>
      </c>
      <c r="F14" s="22">
        <f t="shared" si="0"/>
        <v>0</v>
      </c>
      <c r="G14">
        <f t="shared" si="1"/>
        <v>0</v>
      </c>
      <c r="H14">
        <f t="shared" si="2"/>
        <v>1</v>
      </c>
      <c r="I14" s="8">
        <f t="shared" si="3"/>
        <v>0</v>
      </c>
      <c r="J14">
        <f t="shared" si="4"/>
        <v>0</v>
      </c>
      <c r="K14">
        <f t="shared" si="5"/>
        <v>0</v>
      </c>
      <c r="L14">
        <f t="shared" si="6"/>
        <v>0</v>
      </c>
      <c r="M14">
        <f t="shared" si="7"/>
        <v>0</v>
      </c>
      <c r="N14">
        <f t="shared" si="8"/>
        <v>0</v>
      </c>
      <c r="O14">
        <f t="shared" si="9"/>
        <v>0</v>
      </c>
      <c r="P14">
        <f t="shared" si="13"/>
        <v>1.8970617938038981</v>
      </c>
      <c r="Q14">
        <f t="shared" si="14"/>
        <v>0.86955861712664462</v>
      </c>
      <c r="R14">
        <f t="shared" si="10"/>
        <v>-1.426584995920309</v>
      </c>
      <c r="S14">
        <f t="shared" si="11"/>
        <v>-3.7355570850783457</v>
      </c>
      <c r="T14">
        <f t="shared" si="12"/>
        <v>-1.4265849915034605</v>
      </c>
    </row>
    <row r="15" spans="1:20" ht="15.75" thickBot="1" x14ac:dyDescent="0.3">
      <c r="A15" s="29" t="s">
        <v>143</v>
      </c>
      <c r="B15" s="29" t="s">
        <v>131</v>
      </c>
      <c r="C15" s="29" t="s">
        <v>144</v>
      </c>
      <c r="D15" s="29">
        <v>192</v>
      </c>
      <c r="E15" s="29">
        <v>670</v>
      </c>
      <c r="F15" s="38">
        <f t="shared" si="0"/>
        <v>0</v>
      </c>
      <c r="G15" s="29">
        <f t="shared" si="1"/>
        <v>0</v>
      </c>
      <c r="H15" s="29">
        <f t="shared" si="2"/>
        <v>1</v>
      </c>
      <c r="I15" s="37">
        <f t="shared" si="3"/>
        <v>1</v>
      </c>
      <c r="J15" s="29">
        <f t="shared" si="4"/>
        <v>0</v>
      </c>
      <c r="K15" s="29">
        <f t="shared" si="5"/>
        <v>0</v>
      </c>
      <c r="L15" s="29">
        <f t="shared" si="6"/>
        <v>0</v>
      </c>
      <c r="M15" s="29">
        <f t="shared" si="7"/>
        <v>1</v>
      </c>
      <c r="N15" s="29">
        <f t="shared" si="8"/>
        <v>0</v>
      </c>
      <c r="O15" s="29">
        <f t="shared" si="9"/>
        <v>0</v>
      </c>
      <c r="P15">
        <f t="shared" si="13"/>
        <v>-1.2497830365597913</v>
      </c>
      <c r="Q15" s="29">
        <f>EXP(P15)/(1+EXP(P15))</f>
        <v>0.22273769849500138</v>
      </c>
      <c r="R15">
        <f t="shared" si="10"/>
        <v>-3.4221591712046471</v>
      </c>
      <c r="S15">
        <f t="shared" si="11"/>
        <v>-376.31103156968385</v>
      </c>
      <c r="T15">
        <f t="shared" si="12"/>
        <v>-3.4221591711684805</v>
      </c>
    </row>
    <row r="16" spans="1:20" ht="15.75" thickBot="1" x14ac:dyDescent="0.3">
      <c r="D16" s="20" t="s">
        <v>184</v>
      </c>
      <c r="E16" s="18">
        <v>3.5554308480267856</v>
      </c>
      <c r="F16" s="18">
        <v>-1.7383577101139998</v>
      </c>
      <c r="G16" s="18">
        <v>-3.772838161041336</v>
      </c>
      <c r="H16" s="18">
        <v>-1.6583690542228875</v>
      </c>
      <c r="I16" s="18">
        <v>-4.2830734771870551</v>
      </c>
      <c r="J16" s="23">
        <v>14.234546542157398</v>
      </c>
      <c r="K16" s="24">
        <v>6.8095636408571136E-2</v>
      </c>
      <c r="L16" s="24">
        <v>2.8977706969699835</v>
      </c>
      <c r="M16" s="24">
        <v>1.1362286468233658</v>
      </c>
      <c r="N16" s="23">
        <v>6.6023985890552774</v>
      </c>
      <c r="O16" s="23">
        <v>-13.896639203116214</v>
      </c>
      <c r="R16">
        <f>SUM(R2:R15)</f>
        <v>-24.153224550809416</v>
      </c>
      <c r="S16">
        <f>SUM(S2:S15)</f>
        <v>-931.76199052564311</v>
      </c>
      <c r="T16">
        <f>SUM(T2:T15)</f>
        <v>-23.310518942453736</v>
      </c>
    </row>
    <row r="17" spans="4:20" x14ac:dyDescent="0.25">
      <c r="D17" t="s">
        <v>185</v>
      </c>
      <c r="E17" t="s">
        <v>204</v>
      </c>
      <c r="Q17" t="s">
        <v>171</v>
      </c>
      <c r="R17">
        <f>-2*R16+2*11</f>
        <v>70.306449101618824</v>
      </c>
      <c r="S17">
        <f>-2*S16+2*1</f>
        <v>1865.5239810512862</v>
      </c>
      <c r="T17">
        <f t="shared" ref="T17" si="15">-2*T16+2*14</f>
        <v>74.62103788490748</v>
      </c>
    </row>
    <row r="18" spans="4:20" x14ac:dyDescent="0.25">
      <c r="D18" t="s">
        <v>191</v>
      </c>
      <c r="E18">
        <f>SUM(E2:E15)/SUM(D2:E16)</f>
        <v>0.67587323010827693</v>
      </c>
    </row>
    <row r="19" spans="4:20" ht="18.75" x14ac:dyDescent="0.25">
      <c r="N19" s="39"/>
    </row>
    <row r="20" spans="4:20" ht="18.75" x14ac:dyDescent="0.25">
      <c r="E20" s="41"/>
      <c r="F20" s="41"/>
      <c r="H20" s="41"/>
      <c r="N20" s="39"/>
    </row>
    <row r="21" spans="4:20" ht="18.75" x14ac:dyDescent="0.25">
      <c r="E21" s="41"/>
      <c r="F21" s="41"/>
      <c r="N21" s="40"/>
    </row>
    <row r="22" spans="4:20" ht="18.75" x14ac:dyDescent="0.25">
      <c r="E22" s="41"/>
      <c r="F22" s="41"/>
      <c r="H22" s="41"/>
      <c r="N22" s="40"/>
    </row>
    <row r="23" spans="4:20" ht="18.75" x14ac:dyDescent="0.25">
      <c r="E23" s="41"/>
      <c r="F23" s="41"/>
      <c r="N23" s="40"/>
    </row>
    <row r="24" spans="4:20" ht="18.75" x14ac:dyDescent="0.25">
      <c r="E24" s="41"/>
      <c r="F24" s="41"/>
      <c r="H24" s="41"/>
      <c r="N24" s="40"/>
    </row>
    <row r="25" spans="4:20" ht="18.75" x14ac:dyDescent="0.25">
      <c r="E25" s="41"/>
      <c r="F25" s="41"/>
      <c r="N25" s="39"/>
    </row>
    <row r="26" spans="4:20" ht="18.75" x14ac:dyDescent="0.25">
      <c r="E26" s="41"/>
      <c r="F26" s="41"/>
      <c r="N26" s="39"/>
    </row>
    <row r="27" spans="4:20" ht="18.75" x14ac:dyDescent="0.25">
      <c r="E27" s="41"/>
      <c r="F27" s="41"/>
      <c r="H27" s="41"/>
      <c r="N27" s="40"/>
    </row>
    <row r="28" spans="4:20" ht="18.75" x14ac:dyDescent="0.25">
      <c r="E28" s="41"/>
      <c r="F28" s="41"/>
      <c r="N28" s="39"/>
    </row>
    <row r="29" spans="4:20" ht="18.75" x14ac:dyDescent="0.25">
      <c r="E29" s="41"/>
      <c r="F29" s="41"/>
      <c r="N29" s="39"/>
    </row>
    <row r="30" spans="4:20" ht="18.75" x14ac:dyDescent="0.25">
      <c r="E30" s="41"/>
      <c r="F30" s="41"/>
      <c r="N30" s="3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Spaceship_get_a_b (2)</vt:lpstr>
      <vt:lpstr>Spaceship_get_a_b</vt:lpstr>
      <vt:lpstr>ConventionalTransformation</vt:lpstr>
      <vt:lpstr>GLM_Likelihood</vt:lpstr>
      <vt:lpstr>Maple Code</vt:lpstr>
      <vt:lpstr>TitanicFull</vt:lpstr>
      <vt:lpstr>Titanic_No_3way</vt:lpstr>
      <vt:lpstr>Titanic_Final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xxia</dc:creator>
  <cp:lastModifiedBy>xxia</cp:lastModifiedBy>
  <dcterms:created xsi:type="dcterms:W3CDTF">2016-11-14T03:28:31Z</dcterms:created>
  <dcterms:modified xsi:type="dcterms:W3CDTF">2019-11-05T22:21:59Z</dcterms:modified>
</cp:coreProperties>
</file>